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4" yWindow="24" windowWidth="11652" windowHeight="8616" tabRatio="698" firstSheet="1" activeTab="1"/>
  </bookViews>
  <sheets>
    <sheet name="2017" sheetId="1" state="hidden" r:id="rId1"/>
    <sheet name="раздел 3 2021" sheetId="2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'2017'!$A$9:$U$81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1">'раздел 3 2021'!$A$1:$T$69</definedName>
  </definedNames>
  <calcPr fullCalcOnLoad="1"/>
</workbook>
</file>

<file path=xl/sharedStrings.xml><?xml version="1.0" encoding="utf-8"?>
<sst xmlns="http://schemas.openxmlformats.org/spreadsheetml/2006/main" count="2526" uniqueCount="385">
  <si>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</si>
  <si>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</si>
  <si>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</si>
  <si>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</si>
  <si>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</si>
  <si>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</si>
  <si>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</si>
  <si>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</si>
  <si>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</si>
  <si>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</si>
  <si>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</si>
  <si>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</si>
  <si>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</si>
  <si>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</si>
  <si>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</si>
  <si>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</si>
  <si>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</si>
  <si>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</si>
  <si>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</si>
  <si>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</si>
  <si>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</si>
  <si>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</si>
  <si>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</si>
  <si>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</si>
  <si>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</si>
  <si>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</si>
  <si>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</si>
  <si>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</si>
  <si>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</si>
  <si>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</si>
  <si>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</si>
  <si>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</si>
  <si>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</si>
  <si>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</si>
  <si>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</si>
  <si>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</si>
  <si>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</si>
  <si>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</si>
  <si>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</si>
  <si>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</si>
  <si>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</si>
  <si>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</si>
  <si>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</si>
  <si>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</si>
  <si>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</si>
  <si>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</si>
  <si>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</si>
  <si>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</si>
  <si>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</si>
  <si>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</si>
  <si>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</si>
  <si>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</si>
  <si>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</si>
  <si>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</si>
  <si>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</si>
  <si>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</si>
  <si>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</si>
  <si>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</si>
  <si>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</si>
  <si>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</si>
  <si>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</si>
  <si>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</si>
  <si>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</si>
  <si>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</si>
  <si>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</si>
  <si>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</si>
  <si>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</si>
  <si>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</si>
  <si>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</si>
  <si>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</si>
  <si>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</si>
  <si>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</si>
  <si>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</si>
  <si>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</si>
  <si>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</si>
  <si>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</si>
  <si>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</si>
  <si>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</si>
  <si>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</si>
  <si>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</si>
  <si>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</si>
  <si>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</si>
  <si>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</si>
  <si>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</si>
  <si>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</si>
  <si>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</si>
  <si>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</si>
  <si>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</si>
  <si>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</si>
  <si>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</si>
  <si>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</si>
  <si>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</si>
  <si>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</si>
  <si>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</si>
  <si>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</si>
  <si>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</si>
  <si>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</si>
  <si>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</si>
  <si>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</si>
  <si>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</si>
  <si>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</si>
  <si>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</si>
  <si>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</si>
  <si>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</si>
  <si>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</si>
  <si>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</si>
  <si>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</si>
  <si>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</si>
  <si>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</si>
  <si>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</si>
  <si>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</si>
  <si>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</si>
  <si>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</si>
  <si>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</si>
  <si>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</si>
  <si>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</si>
  <si>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</si>
  <si>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</si>
  <si>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</si>
  <si>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</si>
  <si>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</si>
  <si>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</si>
  <si>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</si>
  <si>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</si>
  <si>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</si>
  <si>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</si>
  <si>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</si>
  <si>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</si>
  <si>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</si>
  <si>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</si>
  <si>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</si>
  <si>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</si>
  <si>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</si>
  <si>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</si>
  <si>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</si>
  <si>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</si>
  <si>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</si>
  <si>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</si>
  <si>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</si>
  <si>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</si>
  <si>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</si>
  <si>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</si>
  <si>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</si>
  <si>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</si>
  <si>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</si>
  <si>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</si>
  <si>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</si>
  <si>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</si>
  <si>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</si>
  <si>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</si>
  <si>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</si>
  <si>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</si>
  <si>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</si>
  <si>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</si>
  <si>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</si>
  <si>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</si>
  <si>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</si>
  <si>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</si>
  <si>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</si>
  <si>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</si>
  <si>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</si>
  <si>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</si>
  <si>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</si>
  <si>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</si>
  <si>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</si>
  <si>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</si>
  <si>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</si>
  <si>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</si>
  <si>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</si>
  <si>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</si>
  <si>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</si>
  <si>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</si>
  <si>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</si>
  <si>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</si>
  <si>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</si>
  <si>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</si>
  <si>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</si>
  <si>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</si>
  <si>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</si>
  <si>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</si>
  <si>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</si>
  <si>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</si>
  <si>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</si>
  <si>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</si>
  <si>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</si>
  <si>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</si>
  <si>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</si>
  <si>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</si>
  <si>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</si>
  <si>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</si>
  <si>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</si>
  <si>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</si>
  <si>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</si>
  <si>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</si>
  <si>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</si>
  <si>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</si>
  <si>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</si>
  <si>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</si>
  <si>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</si>
  <si>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</si>
  <si>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</si>
  <si>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</si>
  <si>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</si>
  <si>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</si>
  <si>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</si>
  <si>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</si>
  <si>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</si>
  <si>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</si>
  <si>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</si>
  <si>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</si>
  <si>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</si>
  <si>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</si>
  <si>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</si>
  <si>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</si>
  <si>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</si>
  <si>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</si>
  <si>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</si>
  <si>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</si>
  <si>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</si>
  <si>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</si>
  <si>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</si>
  <si>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</si>
  <si>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</si>
  <si>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</si>
  <si>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</si>
  <si>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</si>
  <si>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</si>
  <si>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</si>
  <si>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</si>
  <si>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</si>
  <si>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</si>
  <si>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</si>
  <si>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</si>
  <si>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</si>
  <si>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</si>
  <si>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</si>
  <si>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</si>
  <si>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</si>
  <si>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</si>
  <si>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</si>
  <si>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</si>
  <si>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</si>
  <si>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</si>
  <si>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</si>
  <si>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</si>
  <si>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</si>
  <si>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</si>
  <si>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</si>
  <si>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</si>
  <si>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</si>
  <si>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</si>
  <si>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</si>
  <si>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</si>
  <si>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</si>
  <si>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</si>
  <si>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</si>
  <si>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</si>
  <si>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</si>
  <si>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</si>
  <si>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</si>
  <si>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</si>
  <si>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</si>
  <si>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</si>
  <si>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</si>
  <si>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</si>
  <si>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</si>
  <si>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</si>
  <si>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</si>
  <si>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</si>
  <si>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</si>
  <si>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</si>
  <si>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</si>
  <si>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</si>
  <si>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</si>
  <si>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</si>
  <si>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</si>
  <si>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</si>
  <si>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</si>
  <si>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</si>
  <si>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</si>
  <si>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</si>
  <si>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</si>
  <si>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</si>
  <si>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</si>
  <si>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</si>
  <si>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</si>
  <si>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</si>
  <si>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</si>
  <si>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</si>
  <si>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</si>
  <si>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</si>
  <si>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</si>
  <si>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</si>
  <si>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</si>
  <si>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</si>
  <si>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</si>
  <si>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</si>
  <si>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</si>
  <si>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</si>
  <si>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</si>
  <si>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</si>
  <si>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</si>
  <si>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</si>
  <si>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</si>
  <si>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</si>
  <si>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</si>
  <si>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</si>
  <si>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</si>
  <si>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</si>
  <si>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</si>
  <si>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</si>
  <si>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</si>
  <si>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</si>
  <si>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</si>
  <si>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</si>
  <si>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</si>
  <si>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</si>
  <si>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</si>
  <si>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</si>
  <si>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</si>
  <si>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</si>
  <si>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</si>
  <si>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</si>
  <si>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</si>
  <si>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</si>
  <si>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</si>
  <si>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</si>
  <si>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 xml:space="preserve">Стоимость капитального ремонта или замены лифтового оборудования, в том числе                            </t>
  </si>
  <si>
    <t>Муниципальное образование "Город Всеволожск"</t>
  </si>
  <si>
    <t>Муниципальное образование "Сертолово"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</si>
  <si>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</si>
  <si>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</si>
  <si>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</si>
  <si>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Стоимость технического освидетельствования</t>
  </si>
  <si>
    <t>Проектные работы</t>
  </si>
  <si>
    <t>ВСЕГО</t>
  </si>
  <si>
    <t>Выборгский  район</t>
  </si>
  <si>
    <t>Гатчинский муниципальный район</t>
  </si>
  <si>
    <t>Итого по Гатчинскому муниципальному району</t>
  </si>
  <si>
    <t>Муниципальное образование Отрадненское городское поселение</t>
  </si>
  <si>
    <t>Муниципальное образование Город Гатчина</t>
  </si>
  <si>
    <t>Муниципальное образование "Город Выборг"</t>
  </si>
  <si>
    <t>1992</t>
  </si>
  <si>
    <t>ж/б панели</t>
  </si>
  <si>
    <t xml:space="preserve">Г. Всеволожск, ул. Вокка, д. 3  </t>
  </si>
  <si>
    <t>всего</t>
  </si>
  <si>
    <t>Г. Сертолово, микрорайон Сертолово-1, ул. Молодежная, д. 8, корп. 2</t>
  </si>
  <si>
    <t xml:space="preserve">Г. Выборг, ул. Приморская, д. 64  </t>
  </si>
  <si>
    <t>Г. Выборг, ш.Ленинградское, д.39</t>
  </si>
  <si>
    <t>Г. Выборг, пер. Школьный 3а</t>
  </si>
  <si>
    <t xml:space="preserve">Муниципальное образование  Полянское сельское поселение </t>
  </si>
  <si>
    <t>П/ст Приветнинское, ул. Военных строителей, д. 1</t>
  </si>
  <si>
    <t>П/ст Приветнинское, ул. Военных строителей, д. 7</t>
  </si>
  <si>
    <t>П/ст Приветнинское, ул. Военных строителей, д. 9</t>
  </si>
  <si>
    <t>Г. Гатчина, просп. 25 Октября, д. 46</t>
  </si>
  <si>
    <t>Г. Гатчина, просп. 25 Октября, д. 50</t>
  </si>
  <si>
    <t>Г. Гатчина, просп. 25 Октября, д. 63</t>
  </si>
  <si>
    <t>Г. Гатчина, ул. Авиатриссы Зверевой, д. 11</t>
  </si>
  <si>
    <t>Г. Гатчина, ул. Красных Военлётов, д. 9</t>
  </si>
  <si>
    <t>Г. Гатчина, ул. Рощинская, д. 13, кор. 1</t>
  </si>
  <si>
    <t>Г. Гатчина, ул. Чехова, д. 14</t>
  </si>
  <si>
    <t>Г. Кингисепп, просп. Карла Маркса, д. 51</t>
  </si>
  <si>
    <t>Г. Кингисепп, б-р Большой , д. 11</t>
  </si>
  <si>
    <t xml:space="preserve">монолит </t>
  </si>
  <si>
    <t>Г. Кингисепп, б-р Большой, д. 15</t>
  </si>
  <si>
    <t>Г. Кингисепп, б-р Большой, д. 17</t>
  </si>
  <si>
    <t>Г. Кингисепп, ул. Воровского, д. 31в</t>
  </si>
  <si>
    <t>Г. Кингисепп, ш. Крикковское, д. 10а</t>
  </si>
  <si>
    <t xml:space="preserve">панельный </t>
  </si>
  <si>
    <t>Г. Кингисепп, ш. Крикковское, д. 12</t>
  </si>
  <si>
    <t>Г. Кингисепп, ш. Крикковское, д. 14</t>
  </si>
  <si>
    <t>Г. Кингисепп, ш. Крикковское, д. 35</t>
  </si>
  <si>
    <t>Г. Кингисепп, ш. Крикковское, д. 39</t>
  </si>
  <si>
    <t>Г. Кингисепп, ш. Крикковское, д. 6</t>
  </si>
  <si>
    <t>Г. Кировск, ул. Ладожская, д. 20</t>
  </si>
  <si>
    <t>Г. Отрадное, ул. Гагарина, д. 14Б</t>
  </si>
  <si>
    <t>Г. Отрадное, ул. Гагарина, д. 14В</t>
  </si>
  <si>
    <t>Г. Отрадное, ул. Гагарина, д. 14Г</t>
  </si>
  <si>
    <t xml:space="preserve">  7-9</t>
  </si>
  <si>
    <t>Г.Сертолово, микрорайон Сертолово-1, ул.Центральная, д. 7, корп.2</t>
  </si>
  <si>
    <t>кер.бет.</t>
  </si>
  <si>
    <t>Раздел III. Перечень многоквартирных домов, лифтовое оборудование которых подлежит капитальному ремонту в 2021 году,  с учетом мер государственной поддержки</t>
  </si>
  <si>
    <t xml:space="preserve"> к постановлению Правительства Ленинградской области</t>
  </si>
  <si>
    <t>Приложение 2</t>
  </si>
  <si>
    <t>от "30" апреля 2021г. №253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</si>
</sst>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\ _₽_-;\-* #,##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62" applyNumberFormat="1" applyFont="1" applyFill="1" applyBorder="1" applyAlignment="1">
      <alignment horizontal="center"/>
      <protection/>
    </xf>
    <xf numFmtId="0" fontId="7" fillId="35" borderId="10" xfId="70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53" fillId="0" borderId="0" xfId="0" applyNumberFormat="1" applyFont="1" applyFill="1" applyAlignment="1">
      <alignment horizontal="center" vertical="center"/>
    </xf>
    <xf numFmtId="0" fontId="11" fillId="0" borderId="10" xfId="91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67" applyNumberFormat="1" applyFont="1" applyFill="1" applyBorder="1" applyAlignment="1">
      <alignment horizontal="center" vertical="center" wrapText="1"/>
      <protection/>
    </xf>
    <xf numFmtId="3" fontId="11" fillId="0" borderId="10" xfId="67" applyNumberFormat="1" applyFont="1" applyFill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1" fontId="11" fillId="0" borderId="10" xfId="67" applyNumberFormat="1" applyFont="1" applyFill="1" applyBorder="1" applyAlignment="1">
      <alignment horizontal="center" vertical="center"/>
      <protection/>
    </xf>
    <xf numFmtId="4" fontId="12" fillId="0" borderId="10" xfId="67" applyNumberFormat="1" applyFont="1" applyFill="1" applyBorder="1" applyAlignment="1">
      <alignment horizontal="center" vertical="center" wrapText="1"/>
      <protection/>
    </xf>
    <xf numFmtId="3" fontId="11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justify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" fontId="12" fillId="0" borderId="10" xfId="67" applyNumberFormat="1" applyFont="1" applyFill="1" applyBorder="1" applyAlignment="1" applyProtection="1">
      <alignment horizontal="center" vertical="center" wrapText="1"/>
      <protection/>
    </xf>
    <xf numFmtId="4" fontId="12" fillId="0" borderId="10" xfId="67" applyNumberFormat="1" applyFont="1" applyFill="1" applyBorder="1" applyAlignment="1">
      <alignment horizontal="center" vertical="center"/>
      <protection/>
    </xf>
    <xf numFmtId="0" fontId="11" fillId="0" borderId="10" xfId="97" applyFont="1" applyFill="1" applyBorder="1" applyAlignment="1">
      <alignment horizontal="center" vertical="center" wrapText="1"/>
      <protection/>
    </xf>
    <xf numFmtId="0" fontId="11" fillId="0" borderId="10" xfId="97" applyFont="1" applyFill="1" applyBorder="1" applyAlignment="1">
      <alignment horizontal="left" vertical="center" wrapText="1"/>
      <protection/>
    </xf>
    <xf numFmtId="2" fontId="11" fillId="0" borderId="10" xfId="0" applyNumberFormat="1" applyFont="1" applyFill="1" applyBorder="1" applyAlignment="1">
      <alignment horizontal="right" vertical="center" inden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91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171" fontId="11" fillId="0" borderId="10" xfId="116" applyFont="1" applyFill="1" applyBorder="1" applyAlignment="1">
      <alignment horizontal="center" vertical="center"/>
    </xf>
    <xf numFmtId="171" fontId="11" fillId="0" borderId="10" xfId="116" applyFont="1" applyFill="1" applyBorder="1" applyAlignment="1">
      <alignment horizontal="center" textRotation="90" wrapText="1"/>
    </xf>
    <xf numFmtId="171" fontId="11" fillId="0" borderId="0" xfId="116" applyFont="1" applyFill="1" applyAlignment="1">
      <alignment/>
    </xf>
    <xf numFmtId="171" fontId="11" fillId="0" borderId="10" xfId="116" applyFont="1" applyFill="1" applyBorder="1" applyAlignment="1">
      <alignment wrapText="1"/>
    </xf>
    <xf numFmtId="171" fontId="11" fillId="0" borderId="10" xfId="116" applyFont="1" applyFill="1" applyBorder="1" applyAlignment="1">
      <alignment/>
    </xf>
    <xf numFmtId="171" fontId="10" fillId="0" borderId="0" xfId="116" applyFont="1" applyFill="1" applyBorder="1" applyAlignment="1">
      <alignment wrapText="1"/>
    </xf>
    <xf numFmtId="171" fontId="10" fillId="0" borderId="10" xfId="116" applyFont="1" applyFill="1" applyBorder="1" applyAlignment="1">
      <alignment wrapText="1"/>
    </xf>
    <xf numFmtId="171" fontId="10" fillId="0" borderId="10" xfId="116" applyFont="1" applyFill="1" applyBorder="1" applyAlignment="1">
      <alignment/>
    </xf>
    <xf numFmtId="171" fontId="11" fillId="0" borderId="11" xfId="116" applyFont="1" applyFill="1" applyBorder="1" applyAlignment="1">
      <alignment/>
    </xf>
    <xf numFmtId="171" fontId="10" fillId="0" borderId="0" xfId="116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171" fontId="53" fillId="0" borderId="10" xfId="116" applyFont="1" applyFill="1" applyBorder="1" applyAlignment="1">
      <alignment wrapText="1"/>
    </xf>
    <xf numFmtId="171" fontId="53" fillId="0" borderId="0" xfId="116" applyFont="1" applyFill="1" applyAlignment="1">
      <alignment/>
    </xf>
    <xf numFmtId="171" fontId="53" fillId="0" borderId="10" xfId="116" applyFont="1" applyFill="1" applyBorder="1" applyAlignment="1">
      <alignment/>
    </xf>
    <xf numFmtId="4" fontId="8" fillId="0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7" borderId="13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8" fillId="37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4" fontId="8" fillId="37" borderId="11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textRotation="90" wrapText="1"/>
    </xf>
    <xf numFmtId="4" fontId="11" fillId="0" borderId="14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textRotation="90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0" fillId="0" borderId="11" xfId="97" applyFont="1" applyFill="1" applyBorder="1" applyAlignment="1">
      <alignment horizontal="left" vertical="center" wrapText="1"/>
      <protection/>
    </xf>
    <xf numFmtId="0" fontId="10" fillId="0" borderId="13" xfId="97" applyFont="1" applyFill="1" applyBorder="1" applyAlignment="1">
      <alignment horizontal="left" vertical="center" wrapText="1"/>
      <protection/>
    </xf>
    <xf numFmtId="1" fontId="11" fillId="0" borderId="15" xfId="0" applyNumberFormat="1" applyFont="1" applyFill="1" applyBorder="1" applyAlignment="1">
      <alignment horizontal="center" vertical="center" textRotation="90" wrapText="1"/>
    </xf>
    <xf numFmtId="1" fontId="11" fillId="0" borderId="17" xfId="0" applyNumberFormat="1" applyFont="1" applyFill="1" applyBorder="1" applyAlignment="1">
      <alignment horizontal="center" vertical="center" textRotation="90" wrapText="1"/>
    </xf>
    <xf numFmtId="1" fontId="11" fillId="0" borderId="14" xfId="0" applyNumberFormat="1" applyFont="1" applyFill="1" applyBorder="1" applyAlignment="1">
      <alignment horizontal="center" vertical="center" textRotation="90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6" applyNumberFormat="1" applyFont="1" applyFill="1" applyBorder="1" applyAlignment="1">
      <alignment horizontal="left" vertical="center"/>
      <protection/>
    </xf>
    <xf numFmtId="4" fontId="6" fillId="35" borderId="12" xfId="76" applyNumberFormat="1" applyFont="1" applyFill="1" applyBorder="1" applyAlignment="1">
      <alignment horizontal="left" vertical="center"/>
      <protection/>
    </xf>
    <xf numFmtId="4" fontId="6" fillId="35" borderId="16" xfId="76" applyNumberFormat="1" applyFont="1" applyFill="1" applyBorder="1" applyAlignment="1">
      <alignment horizontal="left" vertical="center"/>
      <protection/>
    </xf>
    <xf numFmtId="4" fontId="6" fillId="35" borderId="23" xfId="76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7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 textRotation="90" wrapText="1"/>
    </xf>
    <xf numFmtId="2" fontId="7" fillId="33" borderId="22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 3" xfId="69"/>
    <cellStyle name="Обычный 2" xfId="70"/>
    <cellStyle name="Обычный 2 2" xfId="71"/>
    <cellStyle name="Обычный 2 2 2" xfId="72"/>
    <cellStyle name="Обычный 2 3" xfId="73"/>
    <cellStyle name="Обычный 2 4" xfId="74"/>
    <cellStyle name="Обычный 24" xfId="75"/>
    <cellStyle name="Обычный 3" xfId="76"/>
    <cellStyle name="Обычный 3 2" xfId="77"/>
    <cellStyle name="Обычный 3 2 2" xfId="78"/>
    <cellStyle name="Обычный 3 3" xfId="79"/>
    <cellStyle name="Обычный 3 4" xfId="80"/>
    <cellStyle name="Обычный 3 4 2" xfId="81"/>
    <cellStyle name="Обычный 3 5" xfId="82"/>
    <cellStyle name="Обычный 4" xfId="83"/>
    <cellStyle name="Обычный 4 2" xfId="84"/>
    <cellStyle name="Обычный 4 3" xfId="85"/>
    <cellStyle name="Обычный 4 4" xfId="86"/>
    <cellStyle name="Обычный 4 4 2" xfId="87"/>
    <cellStyle name="Обычный 4 5" xfId="88"/>
    <cellStyle name="Обычный 5" xfId="89"/>
    <cellStyle name="Обычный 5 2" xfId="90"/>
    <cellStyle name="Обычный 6" xfId="91"/>
    <cellStyle name="Обычный 6 2" xfId="92"/>
    <cellStyle name="Обычный 6 3" xfId="93"/>
    <cellStyle name="Обычный 6 4" xfId="94"/>
    <cellStyle name="Обычный 6 4 2" xfId="95"/>
    <cellStyle name="Обычный 6 5" xfId="96"/>
    <cellStyle name="Обычный 6 6" xfId="97"/>
    <cellStyle name="Обычный 7" xfId="98"/>
    <cellStyle name="Обычный 7 2" xfId="99"/>
    <cellStyle name="Обычный 7 3" xfId="100"/>
    <cellStyle name="Обычный 7 4" xfId="101"/>
    <cellStyle name="Обычный 7 4 2" xfId="102"/>
    <cellStyle name="Обычный 7 5" xfId="103"/>
    <cellStyle name="Обычный 8" xfId="104"/>
    <cellStyle name="Обычный 8 2" xfId="105"/>
    <cellStyle name="Обычный 9" xfId="106"/>
    <cellStyle name="Обычный 9 2" xfId="107"/>
    <cellStyle name="Обычный 9 3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09" customWidth="1"/>
    <col min="16" max="16" width="16.28125" style="7" customWidth="1"/>
    <col min="17" max="17" width="15.7109375" style="109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2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3.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5"/>
      <c r="P1" s="91"/>
      <c r="Q1" s="145"/>
      <c r="R1" s="91"/>
      <c r="S1" s="91"/>
    </row>
    <row r="2" spans="1:22" s="2" customFormat="1" ht="13.5">
      <c r="A2" s="7"/>
      <c r="B2" s="7"/>
      <c r="C2" s="7"/>
      <c r="D2" s="277" t="s">
        <v>326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1"/>
      <c r="U2" s="1"/>
      <c r="V2" s="123"/>
    </row>
    <row r="3" spans="1:22" s="2" customFormat="1" ht="13.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7"/>
      <c r="P3" s="74"/>
      <c r="Q3" s="117"/>
      <c r="R3" s="74"/>
      <c r="S3" s="74"/>
      <c r="T3" s="1"/>
      <c r="U3" s="1"/>
      <c r="V3" s="123"/>
    </row>
    <row r="4" spans="1:22" s="2" customFormat="1" ht="30" customHeight="1">
      <c r="A4" s="278" t="s">
        <v>1</v>
      </c>
      <c r="B4" s="278" t="s">
        <v>0</v>
      </c>
      <c r="C4" s="279" t="s">
        <v>2</v>
      </c>
      <c r="D4" s="279"/>
      <c r="E4" s="280" t="s">
        <v>3</v>
      </c>
      <c r="F4" s="283" t="s">
        <v>4</v>
      </c>
      <c r="G4" s="283" t="s">
        <v>5</v>
      </c>
      <c r="H4" s="283" t="s">
        <v>257</v>
      </c>
      <c r="I4" s="281" t="s">
        <v>6</v>
      </c>
      <c r="J4" s="278" t="s">
        <v>7</v>
      </c>
      <c r="K4" s="278"/>
      <c r="L4" s="281" t="s">
        <v>8</v>
      </c>
      <c r="M4" s="296" t="s">
        <v>315</v>
      </c>
      <c r="N4" s="296" t="s">
        <v>316</v>
      </c>
      <c r="O4" s="297" t="s">
        <v>258</v>
      </c>
      <c r="P4" s="297"/>
      <c r="Q4" s="297"/>
      <c r="R4" s="297"/>
      <c r="S4" s="297"/>
      <c r="T4" s="296" t="s">
        <v>9</v>
      </c>
      <c r="U4" s="296" t="s">
        <v>10</v>
      </c>
      <c r="V4" s="123"/>
    </row>
    <row r="5" spans="1:22" s="2" customFormat="1" ht="15" customHeight="1">
      <c r="A5" s="278"/>
      <c r="B5" s="278"/>
      <c r="C5" s="281" t="s">
        <v>11</v>
      </c>
      <c r="D5" s="281" t="s">
        <v>12</v>
      </c>
      <c r="E5" s="280"/>
      <c r="F5" s="283"/>
      <c r="G5" s="283"/>
      <c r="H5" s="283"/>
      <c r="I5" s="281"/>
      <c r="J5" s="281" t="s">
        <v>13</v>
      </c>
      <c r="K5" s="281" t="s">
        <v>14</v>
      </c>
      <c r="L5" s="281"/>
      <c r="M5" s="296"/>
      <c r="N5" s="296"/>
      <c r="O5" s="297"/>
      <c r="P5" s="297"/>
      <c r="Q5" s="297"/>
      <c r="R5" s="297"/>
      <c r="S5" s="297"/>
      <c r="T5" s="296"/>
      <c r="U5" s="296"/>
      <c r="V5" s="123"/>
    </row>
    <row r="6" spans="1:22" s="2" customFormat="1" ht="24.75" customHeight="1">
      <c r="A6" s="278"/>
      <c r="B6" s="278"/>
      <c r="C6" s="281"/>
      <c r="D6" s="281"/>
      <c r="E6" s="280"/>
      <c r="F6" s="283"/>
      <c r="G6" s="283"/>
      <c r="H6" s="283"/>
      <c r="I6" s="281"/>
      <c r="J6" s="281"/>
      <c r="K6" s="281"/>
      <c r="L6" s="281"/>
      <c r="M6" s="296"/>
      <c r="N6" s="296"/>
      <c r="O6" s="265">
        <v>2018</v>
      </c>
      <c r="P6" s="265"/>
      <c r="Q6" s="282">
        <v>2019</v>
      </c>
      <c r="R6" s="265">
        <v>2020</v>
      </c>
      <c r="S6" s="265">
        <v>2021</v>
      </c>
      <c r="T6" s="296"/>
      <c r="U6" s="296"/>
      <c r="V6" s="123">
        <v>2019</v>
      </c>
    </row>
    <row r="7" spans="1:22" s="2" customFormat="1" ht="39.75" customHeight="1">
      <c r="A7" s="278"/>
      <c r="B7" s="278"/>
      <c r="C7" s="281"/>
      <c r="D7" s="281"/>
      <c r="E7" s="280"/>
      <c r="F7" s="283"/>
      <c r="G7" s="283"/>
      <c r="H7" s="283"/>
      <c r="I7" s="281"/>
      <c r="J7" s="281"/>
      <c r="K7" s="281"/>
      <c r="L7" s="281"/>
      <c r="M7" s="296"/>
      <c r="N7" s="296"/>
      <c r="O7" s="265"/>
      <c r="P7" s="265"/>
      <c r="Q7" s="282"/>
      <c r="R7" s="265"/>
      <c r="S7" s="265"/>
      <c r="T7" s="296"/>
      <c r="U7" s="296"/>
      <c r="V7" s="123"/>
    </row>
    <row r="8" spans="1:22" s="2" customFormat="1" ht="60" customHeight="1">
      <c r="A8" s="278"/>
      <c r="B8" s="278"/>
      <c r="C8" s="281"/>
      <c r="D8" s="281"/>
      <c r="E8" s="280"/>
      <c r="F8" s="283"/>
      <c r="G8" s="283"/>
      <c r="H8" s="283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7" t="s">
        <v>17</v>
      </c>
      <c r="P8" s="75" t="s">
        <v>317</v>
      </c>
      <c r="Q8" s="137" t="s">
        <v>17</v>
      </c>
      <c r="R8" s="75" t="s">
        <v>17</v>
      </c>
      <c r="S8" s="75" t="s">
        <v>17</v>
      </c>
      <c r="T8" s="296"/>
      <c r="U8" s="296"/>
      <c r="V8" s="123" t="s">
        <v>17</v>
      </c>
    </row>
    <row r="9" spans="1:22" s="3" customFormat="1" ht="13.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5">
        <v>14</v>
      </c>
      <c r="O9" s="109">
        <v>15</v>
      </c>
      <c r="P9" s="138">
        <v>16</v>
      </c>
      <c r="Q9" s="109">
        <v>17</v>
      </c>
      <c r="R9" s="131">
        <v>18</v>
      </c>
      <c r="S9" s="76">
        <v>19</v>
      </c>
      <c r="T9" s="76">
        <v>20</v>
      </c>
      <c r="U9" s="76">
        <v>21</v>
      </c>
      <c r="V9" s="124"/>
    </row>
    <row r="10" spans="1:22" s="3" customFormat="1" ht="12.75">
      <c r="A10" s="295" t="s">
        <v>24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124"/>
    </row>
    <row r="11" spans="1:21" ht="15" customHeight="1">
      <c r="A11" s="292" t="s">
        <v>262</v>
      </c>
      <c r="B11" s="293"/>
      <c r="C11" s="293"/>
      <c r="D11" s="293"/>
      <c r="E11" s="294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3" ht="15" customHeight="1">
      <c r="A12" s="59">
        <v>1</v>
      </c>
      <c r="B12" s="156" t="s">
        <v>263</v>
      </c>
      <c r="C12" s="147">
        <v>1987</v>
      </c>
      <c r="D12" s="6" t="s">
        <v>182</v>
      </c>
      <c r="E12" s="75" t="s">
        <v>265</v>
      </c>
      <c r="F12" s="154">
        <v>9</v>
      </c>
      <c r="G12" s="154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4">
        <v>617</v>
      </c>
      <c r="M12" s="10">
        <v>16698608.339999998</v>
      </c>
      <c r="N12" s="126">
        <v>465740.1</v>
      </c>
      <c r="O12" s="137">
        <f>M12-Q12-R12-S12</f>
        <v>5009585.339999998</v>
      </c>
      <c r="P12" s="139">
        <f>N12</f>
        <v>465740.1</v>
      </c>
      <c r="Q12" s="137">
        <v>3896341</v>
      </c>
      <c r="R12" s="132">
        <f>Q12</f>
        <v>3896341</v>
      </c>
      <c r="S12" s="10">
        <f>R12</f>
        <v>3896341</v>
      </c>
      <c r="T12" s="11">
        <v>43464</v>
      </c>
      <c r="U12" s="75" t="s">
        <v>184</v>
      </c>
      <c r="V12" s="122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6" t="s">
        <v>264</v>
      </c>
      <c r="C13" s="147">
        <v>1986</v>
      </c>
      <c r="D13" s="6" t="s">
        <v>182</v>
      </c>
      <c r="E13" s="75" t="s">
        <v>265</v>
      </c>
      <c r="F13" s="154">
        <v>9</v>
      </c>
      <c r="G13" s="154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4">
        <v>700</v>
      </c>
      <c r="M13" s="10">
        <v>16698608.339999998</v>
      </c>
      <c r="N13" s="126">
        <v>465740.1</v>
      </c>
      <c r="O13" s="137">
        <f>M13-Q13-R13-S13</f>
        <v>5009585.339999998</v>
      </c>
      <c r="P13" s="139">
        <f>N13</f>
        <v>465740.1</v>
      </c>
      <c r="Q13" s="137">
        <v>3896341</v>
      </c>
      <c r="R13" s="132">
        <f>Q13</f>
        <v>3896341</v>
      </c>
      <c r="S13" s="10">
        <f>R13</f>
        <v>3896341</v>
      </c>
      <c r="T13" s="11">
        <v>43465</v>
      </c>
      <c r="U13" s="75" t="s">
        <v>184</v>
      </c>
      <c r="V13" s="122">
        <f aca="true" t="shared" si="0" ref="V13:V76">M13+N13-O13-P13-Q13-R13-S13</f>
        <v>0</v>
      </c>
    </row>
    <row r="14" spans="1:22" ht="15" customHeight="1">
      <c r="A14" s="263" t="s">
        <v>23</v>
      </c>
      <c r="B14" s="264"/>
      <c r="C14" s="147" t="s">
        <v>261</v>
      </c>
      <c r="D14" s="148" t="s">
        <v>261</v>
      </c>
      <c r="E14" s="83" t="s">
        <v>261</v>
      </c>
      <c r="F14" s="147" t="s">
        <v>261</v>
      </c>
      <c r="G14" s="147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6">
        <f aca="true" t="shared" si="1" ref="N14:S14">SUM(N12:N13)</f>
        <v>931480.2</v>
      </c>
      <c r="O14" s="109">
        <f t="shared" si="1"/>
        <v>10019170.679999996</v>
      </c>
      <c r="P14" s="139">
        <f t="shared" si="1"/>
        <v>931480.2</v>
      </c>
      <c r="Q14" s="109">
        <f t="shared" si="1"/>
        <v>7792682</v>
      </c>
      <c r="R14" s="132">
        <f t="shared" si="1"/>
        <v>7792682</v>
      </c>
      <c r="S14" s="10">
        <f t="shared" si="1"/>
        <v>7792682</v>
      </c>
      <c r="T14" s="67" t="s">
        <v>261</v>
      </c>
      <c r="U14" s="67" t="s">
        <v>261</v>
      </c>
      <c r="V14" s="122">
        <f t="shared" si="0"/>
        <v>0</v>
      </c>
    </row>
    <row r="15" spans="1:22" s="15" customFormat="1" ht="15" customHeight="1">
      <c r="A15" s="286" t="s">
        <v>25</v>
      </c>
      <c r="B15" s="287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6">
        <f t="shared" si="2"/>
        <v>28931.3</v>
      </c>
      <c r="J15" s="16">
        <f t="shared" si="2"/>
        <v>25321.129999999997</v>
      </c>
      <c r="K15" s="16">
        <f t="shared" si="2"/>
        <v>23744.93</v>
      </c>
      <c r="L15" s="16">
        <f t="shared" si="2"/>
        <v>1317</v>
      </c>
      <c r="M15" s="16">
        <f t="shared" si="2"/>
        <v>33397216.679999996</v>
      </c>
      <c r="N15" s="127">
        <f aca="true" t="shared" si="3" ref="N15:S15">N14</f>
        <v>931480.2</v>
      </c>
      <c r="O15" s="111">
        <f t="shared" si="3"/>
        <v>10019170.679999996</v>
      </c>
      <c r="P15" s="140">
        <f t="shared" si="3"/>
        <v>931480.2</v>
      </c>
      <c r="Q15" s="111">
        <f t="shared" si="3"/>
        <v>7792682</v>
      </c>
      <c r="R15" s="133">
        <f t="shared" si="3"/>
        <v>7792682</v>
      </c>
      <c r="S15" s="16">
        <f t="shared" si="3"/>
        <v>7792682</v>
      </c>
      <c r="T15" s="12" t="s">
        <v>261</v>
      </c>
      <c r="U15" s="12" t="s">
        <v>261</v>
      </c>
      <c r="V15" s="122">
        <f t="shared" si="0"/>
        <v>0</v>
      </c>
    </row>
    <row r="16" spans="1:22" ht="15" customHeight="1">
      <c r="A16" s="270" t="s">
        <v>256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2"/>
      <c r="V16" s="122">
        <f t="shared" si="0"/>
        <v>0</v>
      </c>
    </row>
    <row r="17" spans="1:22" ht="13.5">
      <c r="A17" s="273" t="s">
        <v>26</v>
      </c>
      <c r="B17" s="274"/>
      <c r="C17" s="274"/>
      <c r="D17" s="274"/>
      <c r="E17" s="275"/>
      <c r="F17" s="267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9"/>
      <c r="V17" s="122">
        <f t="shared" si="0"/>
        <v>0</v>
      </c>
    </row>
    <row r="18" spans="1:22" ht="13.5">
      <c r="A18" s="59">
        <f>A13+1</f>
        <v>3</v>
      </c>
      <c r="B18" s="157" t="s">
        <v>266</v>
      </c>
      <c r="C18" s="147">
        <v>1940</v>
      </c>
      <c r="D18" s="6"/>
      <c r="E18" s="75" t="s">
        <v>268</v>
      </c>
      <c r="F18" s="154">
        <v>7</v>
      </c>
      <c r="G18" s="154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4">
        <v>95</v>
      </c>
      <c r="M18" s="10">
        <v>3249638.58</v>
      </c>
      <c r="N18" s="126">
        <v>61029.6</v>
      </c>
      <c r="O18" s="137">
        <f>M18-Q18-R18-S18</f>
        <v>974891.5800000001</v>
      </c>
      <c r="P18" s="139">
        <f>N18</f>
        <v>61029.6</v>
      </c>
      <c r="Q18" s="137">
        <v>758249</v>
      </c>
      <c r="R18" s="132">
        <f>Q18</f>
        <v>758249</v>
      </c>
      <c r="S18" s="10">
        <f>R18</f>
        <v>758249</v>
      </c>
      <c r="T18" s="11">
        <v>43464</v>
      </c>
      <c r="U18" s="75" t="s">
        <v>184</v>
      </c>
      <c r="V18" s="122">
        <f t="shared" si="0"/>
        <v>0</v>
      </c>
    </row>
    <row r="19" spans="1:22" ht="13.5">
      <c r="A19" s="59">
        <f>A18+1</f>
        <v>4</v>
      </c>
      <c r="B19" s="158" t="s">
        <v>267</v>
      </c>
      <c r="C19" s="154">
        <v>1976</v>
      </c>
      <c r="D19" s="157"/>
      <c r="E19" s="75" t="s">
        <v>265</v>
      </c>
      <c r="F19" s="154">
        <v>9</v>
      </c>
      <c r="G19" s="154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4">
        <v>386</v>
      </c>
      <c r="M19" s="10">
        <v>2421558.24</v>
      </c>
      <c r="N19" s="126">
        <v>66534.3</v>
      </c>
      <c r="O19" s="137">
        <f>M19-Q19-R19-S19</f>
        <v>726468.2400000002</v>
      </c>
      <c r="P19" s="139">
        <f>N19</f>
        <v>66534.3</v>
      </c>
      <c r="Q19" s="137">
        <v>565030</v>
      </c>
      <c r="R19" s="132">
        <f>Q19</f>
        <v>565030</v>
      </c>
      <c r="S19" s="10">
        <f>R19</f>
        <v>565030</v>
      </c>
      <c r="T19" s="11">
        <v>43464</v>
      </c>
      <c r="U19" s="75" t="s">
        <v>184</v>
      </c>
      <c r="V19" s="122">
        <f t="shared" si="0"/>
        <v>0</v>
      </c>
    </row>
    <row r="20" spans="1:22" ht="15" customHeight="1">
      <c r="A20" s="263" t="s">
        <v>23</v>
      </c>
      <c r="B20" s="264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 aca="true" t="shared" si="4" ref="H20:M20">SUM(H18:H19)</f>
        <v>2</v>
      </c>
      <c r="I20" s="10">
        <f t="shared" si="4"/>
        <v>10192.31</v>
      </c>
      <c r="J20" s="10">
        <f t="shared" si="4"/>
        <v>7296.9400000000005</v>
      </c>
      <c r="K20" s="10">
        <f t="shared" si="4"/>
        <v>5665.84</v>
      </c>
      <c r="L20" s="10">
        <f t="shared" si="4"/>
        <v>481</v>
      </c>
      <c r="M20" s="10">
        <f t="shared" si="4"/>
        <v>5671196.82</v>
      </c>
      <c r="N20" s="126">
        <f aca="true" t="shared" si="5" ref="N20:S20">SUM(N18:N19)</f>
        <v>127563.9</v>
      </c>
      <c r="O20" s="109">
        <f t="shared" si="5"/>
        <v>1701359.8200000003</v>
      </c>
      <c r="P20" s="139">
        <f t="shared" si="5"/>
        <v>127563.9</v>
      </c>
      <c r="Q20" s="109">
        <f t="shared" si="5"/>
        <v>1323279</v>
      </c>
      <c r="R20" s="132">
        <f t="shared" si="5"/>
        <v>1323279</v>
      </c>
      <c r="S20" s="10">
        <f t="shared" si="5"/>
        <v>1323279</v>
      </c>
      <c r="T20" s="6" t="s">
        <v>261</v>
      </c>
      <c r="U20" s="6" t="s">
        <v>261</v>
      </c>
      <c r="V20" s="122">
        <f t="shared" si="0"/>
        <v>0</v>
      </c>
    </row>
    <row r="21" spans="1:22" ht="15" customHeight="1">
      <c r="A21" s="159" t="s">
        <v>269</v>
      </c>
      <c r="B21" s="160"/>
      <c r="C21" s="160"/>
      <c r="D21" s="160"/>
      <c r="E21" s="161"/>
      <c r="F21" s="12"/>
      <c r="G21" s="12"/>
      <c r="H21" s="12"/>
      <c r="I21" s="12"/>
      <c r="J21" s="12"/>
      <c r="K21" s="12"/>
      <c r="L21" s="12"/>
      <c r="M21" s="146"/>
      <c r="N21" s="162"/>
      <c r="O21" s="111"/>
      <c r="P21" s="163"/>
      <c r="Q21" s="111"/>
      <c r="R21" s="164"/>
      <c r="S21" s="146"/>
      <c r="T21" s="146"/>
      <c r="U21" s="146"/>
      <c r="V21" s="122">
        <f t="shared" si="0"/>
        <v>0</v>
      </c>
    </row>
    <row r="22" spans="1:22" ht="15" customHeight="1">
      <c r="A22" s="165">
        <f>A19+1</f>
        <v>5</v>
      </c>
      <c r="B22" s="156" t="s">
        <v>270</v>
      </c>
      <c r="C22" s="153">
        <v>1982</v>
      </c>
      <c r="D22" s="166"/>
      <c r="E22" s="75" t="s">
        <v>265</v>
      </c>
      <c r="F22" s="153">
        <v>12</v>
      </c>
      <c r="G22" s="153">
        <v>1</v>
      </c>
      <c r="H22" s="18">
        <v>2</v>
      </c>
      <c r="I22" s="152">
        <v>2448.6</v>
      </c>
      <c r="J22" s="152">
        <v>2448.6</v>
      </c>
      <c r="K22" s="152">
        <v>2004.6</v>
      </c>
      <c r="L22" s="153">
        <v>111</v>
      </c>
      <c r="M22" s="10">
        <v>5417787.1</v>
      </c>
      <c r="N22" s="126">
        <v>149586.24</v>
      </c>
      <c r="O22" s="137">
        <f>M22-Q22-R22-S22</f>
        <v>1625337.0999999996</v>
      </c>
      <c r="P22" s="139">
        <f>N22</f>
        <v>149586.24</v>
      </c>
      <c r="Q22" s="137">
        <v>1264150</v>
      </c>
      <c r="R22" s="132">
        <f>Q22</f>
        <v>1264150</v>
      </c>
      <c r="S22" s="10">
        <f>R22</f>
        <v>1264150</v>
      </c>
      <c r="T22" s="11">
        <v>43464</v>
      </c>
      <c r="U22" s="75" t="s">
        <v>184</v>
      </c>
      <c r="V22" s="122">
        <f t="shared" si="0"/>
        <v>0</v>
      </c>
    </row>
    <row r="23" spans="1:22" ht="15" customHeight="1">
      <c r="A23" s="165">
        <f>A22+1</f>
        <v>6</v>
      </c>
      <c r="B23" s="156" t="s">
        <v>271</v>
      </c>
      <c r="C23" s="153">
        <v>1980</v>
      </c>
      <c r="D23" s="166"/>
      <c r="E23" s="75" t="s">
        <v>265</v>
      </c>
      <c r="F23" s="153">
        <v>9</v>
      </c>
      <c r="G23" s="153">
        <v>4</v>
      </c>
      <c r="H23" s="18">
        <v>4</v>
      </c>
      <c r="I23" s="152">
        <v>8293.8</v>
      </c>
      <c r="J23" s="152">
        <v>8293.8</v>
      </c>
      <c r="K23" s="152">
        <v>6283.95</v>
      </c>
      <c r="L23" s="153">
        <v>356</v>
      </c>
      <c r="M23" s="10">
        <v>9430303.940000001</v>
      </c>
      <c r="N23" s="126">
        <v>266137.2</v>
      </c>
      <c r="O23" s="137">
        <f>M23-Q23-R23-S23</f>
        <v>2829091.9400000013</v>
      </c>
      <c r="P23" s="139">
        <f>N23</f>
        <v>266137.2</v>
      </c>
      <c r="Q23" s="137">
        <v>2200404</v>
      </c>
      <c r="R23" s="132">
        <f>Q23</f>
        <v>2200404</v>
      </c>
      <c r="S23" s="10">
        <f>R23</f>
        <v>2200404</v>
      </c>
      <c r="T23" s="11">
        <v>43464</v>
      </c>
      <c r="U23" s="75" t="s">
        <v>184</v>
      </c>
      <c r="V23" s="122">
        <f t="shared" si="0"/>
        <v>0</v>
      </c>
    </row>
    <row r="24" spans="1:22" ht="15" customHeight="1">
      <c r="A24" s="266" t="s">
        <v>23</v>
      </c>
      <c r="B24" s="266"/>
      <c r="C24" s="147" t="s">
        <v>261</v>
      </c>
      <c r="D24" s="148" t="s">
        <v>261</v>
      </c>
      <c r="E24" s="83" t="s">
        <v>261</v>
      </c>
      <c r="F24" s="147" t="s">
        <v>261</v>
      </c>
      <c r="G24" s="147" t="s">
        <v>261</v>
      </c>
      <c r="H24" s="152">
        <f aca="true" t="shared" si="6" ref="H24:M24">SUM(H22:H23)</f>
        <v>6</v>
      </c>
      <c r="I24" s="152">
        <f t="shared" si="6"/>
        <v>10742.4</v>
      </c>
      <c r="J24" s="152">
        <f t="shared" si="6"/>
        <v>10742.4</v>
      </c>
      <c r="K24" s="152">
        <f t="shared" si="6"/>
        <v>8288.55</v>
      </c>
      <c r="L24" s="153">
        <f t="shared" si="6"/>
        <v>467</v>
      </c>
      <c r="M24" s="10">
        <f t="shared" si="6"/>
        <v>14848091.040000001</v>
      </c>
      <c r="N24" s="126">
        <f aca="true" t="shared" si="7" ref="N24:S24">SUM(N22:N23)</f>
        <v>415723.44</v>
      </c>
      <c r="O24" s="109">
        <f t="shared" si="7"/>
        <v>4454429.040000001</v>
      </c>
      <c r="P24" s="139">
        <f t="shared" si="7"/>
        <v>415723.44</v>
      </c>
      <c r="Q24" s="109">
        <f t="shared" si="7"/>
        <v>3464554</v>
      </c>
      <c r="R24" s="132">
        <f t="shared" si="7"/>
        <v>3464554</v>
      </c>
      <c r="S24" s="10">
        <f t="shared" si="7"/>
        <v>3464554</v>
      </c>
      <c r="T24" s="67" t="s">
        <v>261</v>
      </c>
      <c r="U24" s="67" t="s">
        <v>261</v>
      </c>
      <c r="V24" s="122">
        <f t="shared" si="0"/>
        <v>0</v>
      </c>
    </row>
    <row r="25" spans="1:22" s="15" customFormat="1" ht="15" customHeight="1">
      <c r="A25" s="286" t="s">
        <v>27</v>
      </c>
      <c r="B25" s="287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4">
        <f t="shared" si="8"/>
        <v>20934.71</v>
      </c>
      <c r="J25" s="14">
        <f t="shared" si="8"/>
        <v>18039.34</v>
      </c>
      <c r="K25" s="14">
        <f t="shared" si="8"/>
        <v>13954.39</v>
      </c>
      <c r="L25" s="14">
        <f t="shared" si="8"/>
        <v>948</v>
      </c>
      <c r="M25" s="14">
        <f t="shared" si="8"/>
        <v>20519287.86</v>
      </c>
      <c r="N25" s="128">
        <f aca="true" t="shared" si="9" ref="N25:S25">N24+N20</f>
        <v>543287.34</v>
      </c>
      <c r="O25" s="111">
        <f t="shared" si="9"/>
        <v>6155788.860000001</v>
      </c>
      <c r="P25" s="141">
        <f t="shared" si="9"/>
        <v>543287.34</v>
      </c>
      <c r="Q25" s="111">
        <f t="shared" si="9"/>
        <v>4787833</v>
      </c>
      <c r="R25" s="134">
        <f t="shared" si="9"/>
        <v>4787833</v>
      </c>
      <c r="S25" s="14">
        <f t="shared" si="9"/>
        <v>4787833</v>
      </c>
      <c r="T25" s="12" t="s">
        <v>261</v>
      </c>
      <c r="U25" s="12" t="s">
        <v>261</v>
      </c>
      <c r="V25" s="122">
        <f t="shared" si="0"/>
        <v>0</v>
      </c>
    </row>
    <row r="26" spans="1:22" s="15" customFormat="1" ht="15" customHeight="1">
      <c r="A26" s="289" t="s">
        <v>273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  <c r="V26" s="122">
        <f t="shared" si="0"/>
        <v>0</v>
      </c>
    </row>
    <row r="27" spans="1:22" s="15" customFormat="1" ht="15" customHeight="1">
      <c r="A27" s="292" t="s">
        <v>274</v>
      </c>
      <c r="B27" s="293"/>
      <c r="C27" s="293"/>
      <c r="D27" s="293"/>
      <c r="E27" s="294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122">
        <f t="shared" si="0"/>
        <v>0</v>
      </c>
    </row>
    <row r="28" spans="1:22" s="15" customFormat="1" ht="15" customHeight="1">
      <c r="A28" s="59">
        <f>A23+1</f>
        <v>7</v>
      </c>
      <c r="B28" s="158" t="s">
        <v>275</v>
      </c>
      <c r="C28" s="147">
        <v>1975</v>
      </c>
      <c r="D28" s="6"/>
      <c r="E28" s="75" t="s">
        <v>268</v>
      </c>
      <c r="F28" s="154">
        <v>9</v>
      </c>
      <c r="G28" s="154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4">
        <v>175</v>
      </c>
      <c r="M28" s="10">
        <v>2352780.76</v>
      </c>
      <c r="N28" s="126">
        <v>66534.3</v>
      </c>
      <c r="O28" s="137">
        <f aca="true" t="shared" si="10" ref="O28:O33">M28-Q28-R28-S28</f>
        <v>705834.7599999998</v>
      </c>
      <c r="P28" s="139">
        <f aca="true" t="shared" si="11" ref="P28:P33">N28</f>
        <v>66534.3</v>
      </c>
      <c r="Q28" s="137">
        <v>548982</v>
      </c>
      <c r="R28" s="132">
        <f aca="true" t="shared" si="12" ref="R28:S33">Q28</f>
        <v>548982</v>
      </c>
      <c r="S28" s="10">
        <f t="shared" si="12"/>
        <v>548982</v>
      </c>
      <c r="T28" s="11">
        <v>43464</v>
      </c>
      <c r="U28" s="75" t="s">
        <v>184</v>
      </c>
      <c r="V28" s="122">
        <f t="shared" si="0"/>
        <v>0</v>
      </c>
    </row>
    <row r="29" spans="1:22" s="15" customFormat="1" ht="15" customHeight="1">
      <c r="A29" s="165">
        <f>A28+1</f>
        <v>8</v>
      </c>
      <c r="B29" s="158" t="s">
        <v>276</v>
      </c>
      <c r="C29" s="147">
        <v>1976</v>
      </c>
      <c r="D29" s="6"/>
      <c r="E29" s="75" t="s">
        <v>268</v>
      </c>
      <c r="F29" s="154">
        <v>9</v>
      </c>
      <c r="G29" s="154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4">
        <v>168</v>
      </c>
      <c r="M29" s="10">
        <v>2352780.76</v>
      </c>
      <c r="N29" s="126">
        <v>66534.3</v>
      </c>
      <c r="O29" s="137">
        <f t="shared" si="10"/>
        <v>705834.7599999998</v>
      </c>
      <c r="P29" s="139">
        <f t="shared" si="11"/>
        <v>66534.3</v>
      </c>
      <c r="Q29" s="137">
        <v>548982</v>
      </c>
      <c r="R29" s="132">
        <f>Q29</f>
        <v>548982</v>
      </c>
      <c r="S29" s="10">
        <f t="shared" si="12"/>
        <v>548982</v>
      </c>
      <c r="T29" s="11">
        <v>43464</v>
      </c>
      <c r="U29" s="75" t="s">
        <v>184</v>
      </c>
      <c r="V29" s="122">
        <f t="shared" si="0"/>
        <v>0</v>
      </c>
    </row>
    <row r="30" spans="1:22" s="15" customFormat="1" ht="15" customHeight="1">
      <c r="A30" s="165">
        <f>A29+1</f>
        <v>9</v>
      </c>
      <c r="B30" s="158" t="s">
        <v>277</v>
      </c>
      <c r="C30" s="147">
        <v>1978</v>
      </c>
      <c r="D30" s="6"/>
      <c r="E30" s="75" t="s">
        <v>265</v>
      </c>
      <c r="F30" s="154">
        <v>9</v>
      </c>
      <c r="G30" s="154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4">
        <v>401</v>
      </c>
      <c r="M30" s="10">
        <v>11608937.94</v>
      </c>
      <c r="N30" s="126">
        <v>332671.5</v>
      </c>
      <c r="O30" s="137">
        <f t="shared" si="10"/>
        <v>3482681.9399999995</v>
      </c>
      <c r="P30" s="139">
        <f t="shared" si="11"/>
        <v>332671.5</v>
      </c>
      <c r="Q30" s="137">
        <v>2708752</v>
      </c>
      <c r="R30" s="132">
        <f t="shared" si="12"/>
        <v>2708752</v>
      </c>
      <c r="S30" s="10">
        <f t="shared" si="12"/>
        <v>2708752</v>
      </c>
      <c r="T30" s="11">
        <v>43464</v>
      </c>
      <c r="U30" s="75" t="s">
        <v>184</v>
      </c>
      <c r="V30" s="122">
        <f t="shared" si="0"/>
        <v>0</v>
      </c>
    </row>
    <row r="31" spans="1:22" s="15" customFormat="1" ht="15" customHeight="1">
      <c r="A31" s="165">
        <f>A30+1</f>
        <v>10</v>
      </c>
      <c r="B31" s="158" t="s">
        <v>278</v>
      </c>
      <c r="C31" s="147">
        <v>1985</v>
      </c>
      <c r="D31" s="6"/>
      <c r="E31" s="75" t="s">
        <v>265</v>
      </c>
      <c r="F31" s="154">
        <v>9</v>
      </c>
      <c r="G31" s="154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4">
        <v>703</v>
      </c>
      <c r="M31" s="10">
        <v>16643917.7</v>
      </c>
      <c r="N31" s="126">
        <v>465740.1</v>
      </c>
      <c r="O31" s="137">
        <f t="shared" si="10"/>
        <v>4993177.699999999</v>
      </c>
      <c r="P31" s="139">
        <f t="shared" si="11"/>
        <v>465740.1</v>
      </c>
      <c r="Q31" s="137">
        <v>3883580</v>
      </c>
      <c r="R31" s="132">
        <f t="shared" si="12"/>
        <v>3883580</v>
      </c>
      <c r="S31" s="10">
        <f t="shared" si="12"/>
        <v>3883580</v>
      </c>
      <c r="T31" s="11">
        <v>43464</v>
      </c>
      <c r="U31" s="75" t="s">
        <v>184</v>
      </c>
      <c r="V31" s="122">
        <f t="shared" si="0"/>
        <v>0</v>
      </c>
    </row>
    <row r="32" spans="1:22" s="15" customFormat="1" ht="15" customHeight="1">
      <c r="A32" s="165">
        <f>A31+1</f>
        <v>11</v>
      </c>
      <c r="B32" s="158" t="s">
        <v>279</v>
      </c>
      <c r="C32" s="147">
        <v>1984</v>
      </c>
      <c r="D32" s="6"/>
      <c r="E32" s="75" t="s">
        <v>265</v>
      </c>
      <c r="F32" s="154">
        <v>9</v>
      </c>
      <c r="G32" s="154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4">
        <v>282</v>
      </c>
      <c r="M32" s="10">
        <v>14198672.14</v>
      </c>
      <c r="N32" s="126">
        <v>399205.8</v>
      </c>
      <c r="O32" s="137">
        <f t="shared" si="10"/>
        <v>4259603.140000001</v>
      </c>
      <c r="P32" s="139">
        <f t="shared" si="11"/>
        <v>399205.8</v>
      </c>
      <c r="Q32" s="137">
        <v>3313023</v>
      </c>
      <c r="R32" s="132">
        <f t="shared" si="12"/>
        <v>3313023</v>
      </c>
      <c r="S32" s="10">
        <f t="shared" si="12"/>
        <v>3313023</v>
      </c>
      <c r="T32" s="11">
        <v>43464</v>
      </c>
      <c r="U32" s="75" t="s">
        <v>184</v>
      </c>
      <c r="V32" s="122">
        <f t="shared" si="0"/>
        <v>0</v>
      </c>
    </row>
    <row r="33" spans="1:22" s="15" customFormat="1" ht="15" customHeight="1">
      <c r="A33" s="165">
        <f>A32+1</f>
        <v>12</v>
      </c>
      <c r="B33" s="158" t="s">
        <v>280</v>
      </c>
      <c r="C33" s="147">
        <v>1975</v>
      </c>
      <c r="D33" s="6"/>
      <c r="E33" s="75" t="s">
        <v>265</v>
      </c>
      <c r="F33" s="154">
        <v>9</v>
      </c>
      <c r="G33" s="154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4">
        <v>283</v>
      </c>
      <c r="M33" s="10">
        <v>4297449.08</v>
      </c>
      <c r="N33" s="126">
        <v>111047.44</v>
      </c>
      <c r="O33" s="137">
        <f t="shared" si="10"/>
        <v>1289235.08</v>
      </c>
      <c r="P33" s="139">
        <f t="shared" si="11"/>
        <v>111047.44</v>
      </c>
      <c r="Q33" s="137">
        <v>1002738</v>
      </c>
      <c r="R33" s="132">
        <f t="shared" si="12"/>
        <v>1002738</v>
      </c>
      <c r="S33" s="10">
        <f t="shared" si="12"/>
        <v>1002738</v>
      </c>
      <c r="T33" s="11">
        <v>43464</v>
      </c>
      <c r="U33" s="75" t="s">
        <v>184</v>
      </c>
      <c r="V33" s="122">
        <f t="shared" si="0"/>
        <v>0</v>
      </c>
    </row>
    <row r="34" spans="1:22" s="15" customFormat="1" ht="15" customHeight="1">
      <c r="A34" s="266" t="s">
        <v>23</v>
      </c>
      <c r="B34" s="266"/>
      <c r="C34" s="147" t="s">
        <v>261</v>
      </c>
      <c r="D34" s="148" t="s">
        <v>261</v>
      </c>
      <c r="E34" s="83" t="s">
        <v>261</v>
      </c>
      <c r="F34" s="147" t="s">
        <v>261</v>
      </c>
      <c r="G34" s="147" t="s">
        <v>261</v>
      </c>
      <c r="H34" s="10">
        <f aca="true" t="shared" si="13" ref="H34:M34">SUM(H28:H33)</f>
        <v>22</v>
      </c>
      <c r="I34" s="10">
        <f t="shared" si="13"/>
        <v>44013.979999999996</v>
      </c>
      <c r="J34" s="10">
        <f t="shared" si="13"/>
        <v>44013.979999999996</v>
      </c>
      <c r="K34" s="10">
        <f t="shared" si="13"/>
        <v>44013.979999999996</v>
      </c>
      <c r="L34" s="154">
        <f t="shared" si="13"/>
        <v>2012</v>
      </c>
      <c r="M34" s="10">
        <f t="shared" si="13"/>
        <v>51454538.379999995</v>
      </c>
      <c r="N34" s="126">
        <f aca="true" t="shared" si="14" ref="N34:S34">SUM(N28:N33)</f>
        <v>1441733.44</v>
      </c>
      <c r="O34" s="109">
        <f t="shared" si="14"/>
        <v>15436367.379999999</v>
      </c>
      <c r="P34" s="139">
        <f t="shared" si="14"/>
        <v>1441733.44</v>
      </c>
      <c r="Q34" s="109">
        <f t="shared" si="14"/>
        <v>12006057</v>
      </c>
      <c r="R34" s="132">
        <f t="shared" si="14"/>
        <v>12006057</v>
      </c>
      <c r="S34" s="10">
        <f t="shared" si="14"/>
        <v>12006057</v>
      </c>
      <c r="T34" s="67" t="s">
        <v>261</v>
      </c>
      <c r="U34" s="67" t="s">
        <v>261</v>
      </c>
      <c r="V34" s="122">
        <f t="shared" si="0"/>
        <v>0</v>
      </c>
    </row>
    <row r="35" spans="1:22" s="15" customFormat="1" ht="15" customHeight="1">
      <c r="A35" s="276" t="s">
        <v>281</v>
      </c>
      <c r="B35" s="276"/>
      <c r="C35" s="276"/>
      <c r="D35" s="149" t="s">
        <v>261</v>
      </c>
      <c r="E35" s="81" t="s">
        <v>261</v>
      </c>
      <c r="F35" s="155" t="s">
        <v>261</v>
      </c>
      <c r="G35" s="155" t="s">
        <v>261</v>
      </c>
      <c r="H35" s="14">
        <f>H34</f>
        <v>22</v>
      </c>
      <c r="I35" s="14">
        <f>I34</f>
        <v>44013.979999999996</v>
      </c>
      <c r="J35" s="14">
        <f aca="true" t="shared" si="15" ref="J35:S35">J34</f>
        <v>44013.979999999996</v>
      </c>
      <c r="K35" s="14">
        <f t="shared" si="15"/>
        <v>44013.979999999996</v>
      </c>
      <c r="L35" s="14">
        <f t="shared" si="15"/>
        <v>2012</v>
      </c>
      <c r="M35" s="80">
        <f t="shared" si="15"/>
        <v>51454538.379999995</v>
      </c>
      <c r="N35" s="129">
        <f t="shared" si="15"/>
        <v>1441733.44</v>
      </c>
      <c r="O35" s="111">
        <f t="shared" si="15"/>
        <v>15436367.379999999</v>
      </c>
      <c r="P35" s="142">
        <f t="shared" si="15"/>
        <v>1441733.44</v>
      </c>
      <c r="Q35" s="111">
        <f t="shared" si="15"/>
        <v>12006057</v>
      </c>
      <c r="R35" s="135">
        <f t="shared" si="15"/>
        <v>12006057</v>
      </c>
      <c r="S35" s="80">
        <f t="shared" si="15"/>
        <v>12006057</v>
      </c>
      <c r="T35" s="70" t="s">
        <v>261</v>
      </c>
      <c r="U35" s="70" t="s">
        <v>261</v>
      </c>
      <c r="V35" s="122">
        <f t="shared" si="0"/>
        <v>0</v>
      </c>
    </row>
    <row r="36" spans="1:22" ht="15" customHeight="1">
      <c r="A36" s="270" t="s">
        <v>28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2"/>
      <c r="V36" s="122">
        <f t="shared" si="0"/>
        <v>0</v>
      </c>
    </row>
    <row r="37" spans="1:22" ht="13.5">
      <c r="A37" s="273" t="s">
        <v>29</v>
      </c>
      <c r="B37" s="274"/>
      <c r="C37" s="274"/>
      <c r="D37" s="274"/>
      <c r="E37" s="275"/>
      <c r="F37" s="267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9"/>
      <c r="V37" s="122">
        <f t="shared" si="0"/>
        <v>0</v>
      </c>
    </row>
    <row r="38" spans="1:22" ht="13.5">
      <c r="A38" s="59">
        <f>A33+1</f>
        <v>13</v>
      </c>
      <c r="B38" s="167" t="s">
        <v>282</v>
      </c>
      <c r="C38" s="147">
        <v>1992</v>
      </c>
      <c r="D38" s="6"/>
      <c r="E38" s="75" t="s">
        <v>265</v>
      </c>
      <c r="F38" s="154">
        <v>9</v>
      </c>
      <c r="G38" s="154">
        <v>1</v>
      </c>
      <c r="H38" s="18">
        <v>1</v>
      </c>
      <c r="I38" s="10">
        <v>2404</v>
      </c>
      <c r="J38" s="10">
        <v>2083</v>
      </c>
      <c r="K38" s="10">
        <v>2028</v>
      </c>
      <c r="L38" s="154">
        <v>108</v>
      </c>
      <c r="M38" s="10">
        <v>2438153.76</v>
      </c>
      <c r="N38" s="126">
        <v>66534.3</v>
      </c>
      <c r="O38" s="137">
        <f>M38-Q38-R38-S38</f>
        <v>731447.7599999998</v>
      </c>
      <c r="P38" s="139">
        <f>N38</f>
        <v>66534.3</v>
      </c>
      <c r="Q38" s="137">
        <v>568902</v>
      </c>
      <c r="R38" s="132">
        <f aca="true" t="shared" si="16" ref="R38:S41">Q38</f>
        <v>568902</v>
      </c>
      <c r="S38" s="10">
        <f t="shared" si="16"/>
        <v>568902</v>
      </c>
      <c r="T38" s="11">
        <v>43464</v>
      </c>
      <c r="U38" s="75" t="s">
        <v>184</v>
      </c>
      <c r="V38" s="122">
        <f t="shared" si="0"/>
        <v>0</v>
      </c>
    </row>
    <row r="39" spans="1:22" ht="13.5">
      <c r="A39" s="59">
        <f>A38+1</f>
        <v>14</v>
      </c>
      <c r="B39" s="167" t="s">
        <v>283</v>
      </c>
      <c r="C39" s="147">
        <v>1990</v>
      </c>
      <c r="D39" s="6"/>
      <c r="E39" s="75" t="s">
        <v>265</v>
      </c>
      <c r="F39" s="154">
        <v>9</v>
      </c>
      <c r="G39" s="154">
        <v>5</v>
      </c>
      <c r="H39" s="18">
        <v>5</v>
      </c>
      <c r="I39" s="10">
        <v>11510</v>
      </c>
      <c r="J39" s="10">
        <v>10173</v>
      </c>
      <c r="K39" s="10">
        <v>9017</v>
      </c>
      <c r="L39" s="154">
        <v>540</v>
      </c>
      <c r="M39" s="10">
        <v>11762070.08</v>
      </c>
      <c r="N39" s="126">
        <v>332671.5</v>
      </c>
      <c r="O39" s="137">
        <f>M39-Q39-R39-S39</f>
        <v>3528621.08</v>
      </c>
      <c r="P39" s="139">
        <f>N39</f>
        <v>332671.5</v>
      </c>
      <c r="Q39" s="137">
        <v>2744483</v>
      </c>
      <c r="R39" s="132">
        <f t="shared" si="16"/>
        <v>2744483</v>
      </c>
      <c r="S39" s="10">
        <f t="shared" si="16"/>
        <v>2744483</v>
      </c>
      <c r="T39" s="11">
        <v>43464</v>
      </c>
      <c r="U39" s="75" t="s">
        <v>184</v>
      </c>
      <c r="V39" s="122">
        <f t="shared" si="0"/>
        <v>0</v>
      </c>
    </row>
    <row r="40" spans="1:22" ht="13.5">
      <c r="A40" s="59">
        <f>A39+1</f>
        <v>15</v>
      </c>
      <c r="B40" s="167" t="s">
        <v>284</v>
      </c>
      <c r="C40" s="147">
        <v>1991</v>
      </c>
      <c r="D40" s="6"/>
      <c r="E40" s="75" t="s">
        <v>265</v>
      </c>
      <c r="F40" s="154">
        <v>9</v>
      </c>
      <c r="G40" s="154">
        <v>1</v>
      </c>
      <c r="H40" s="18">
        <v>1</v>
      </c>
      <c r="I40" s="10">
        <v>2381</v>
      </c>
      <c r="J40" s="10">
        <v>2133</v>
      </c>
      <c r="K40" s="10">
        <v>2067</v>
      </c>
      <c r="L40" s="154">
        <v>105</v>
      </c>
      <c r="M40" s="10">
        <v>2438153.76</v>
      </c>
      <c r="N40" s="126">
        <v>66534.3</v>
      </c>
      <c r="O40" s="137">
        <f>M40-Q40-R40-S40</f>
        <v>731447.7599999998</v>
      </c>
      <c r="P40" s="139">
        <f>N40</f>
        <v>66534.3</v>
      </c>
      <c r="Q40" s="137">
        <v>568902</v>
      </c>
      <c r="R40" s="132">
        <f t="shared" si="16"/>
        <v>568902</v>
      </c>
      <c r="S40" s="10">
        <f t="shared" si="16"/>
        <v>568902</v>
      </c>
      <c r="T40" s="11">
        <v>43464</v>
      </c>
      <c r="U40" s="75" t="s">
        <v>184</v>
      </c>
      <c r="V40" s="122">
        <f t="shared" si="0"/>
        <v>0</v>
      </c>
    </row>
    <row r="41" spans="1:22" ht="13.5">
      <c r="A41" s="59">
        <f>A40+1</f>
        <v>16</v>
      </c>
      <c r="B41" s="167" t="s">
        <v>285</v>
      </c>
      <c r="C41" s="147">
        <v>1991</v>
      </c>
      <c r="D41" s="6"/>
      <c r="E41" s="75" t="s">
        <v>265</v>
      </c>
      <c r="F41" s="154">
        <v>9</v>
      </c>
      <c r="G41" s="154">
        <v>4</v>
      </c>
      <c r="H41" s="18">
        <v>4</v>
      </c>
      <c r="I41" s="10">
        <v>9344</v>
      </c>
      <c r="J41" s="10">
        <v>8132</v>
      </c>
      <c r="K41" s="10">
        <v>7684</v>
      </c>
      <c r="L41" s="154">
        <v>325</v>
      </c>
      <c r="M41" s="10">
        <v>9503310.54</v>
      </c>
      <c r="N41" s="126">
        <v>266137.2</v>
      </c>
      <c r="O41" s="137">
        <f>M41-Q41-R41-S41</f>
        <v>2850993.539999999</v>
      </c>
      <c r="P41" s="139">
        <f>N41</f>
        <v>266137.2</v>
      </c>
      <c r="Q41" s="137">
        <v>2217439</v>
      </c>
      <c r="R41" s="132">
        <f t="shared" si="16"/>
        <v>2217439</v>
      </c>
      <c r="S41" s="10">
        <f t="shared" si="16"/>
        <v>2217439</v>
      </c>
      <c r="T41" s="11">
        <v>43464</v>
      </c>
      <c r="U41" s="75" t="s">
        <v>184</v>
      </c>
      <c r="V41" s="122">
        <f t="shared" si="0"/>
        <v>0</v>
      </c>
    </row>
    <row r="42" spans="1:22" ht="15" customHeight="1">
      <c r="A42" s="263" t="s">
        <v>23</v>
      </c>
      <c r="B42" s="264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 aca="true" t="shared" si="17" ref="H42:M42">SUM(H38:H41)</f>
        <v>11</v>
      </c>
      <c r="I42" s="10">
        <f t="shared" si="17"/>
        <v>25639</v>
      </c>
      <c r="J42" s="6">
        <f t="shared" si="17"/>
        <v>22521</v>
      </c>
      <c r="K42" s="6">
        <f t="shared" si="17"/>
        <v>20796</v>
      </c>
      <c r="L42" s="6">
        <f t="shared" si="17"/>
        <v>1078</v>
      </c>
      <c r="M42" s="10">
        <f t="shared" si="17"/>
        <v>26141688.14</v>
      </c>
      <c r="N42" s="126">
        <f aca="true" t="shared" si="18" ref="N42:S42">SUM(N38:N41)</f>
        <v>731877.3</v>
      </c>
      <c r="O42" s="109">
        <f t="shared" si="18"/>
        <v>7842510.139999999</v>
      </c>
      <c r="P42" s="139">
        <f t="shared" si="18"/>
        <v>731877.3</v>
      </c>
      <c r="Q42" s="109">
        <f t="shared" si="18"/>
        <v>6099726</v>
      </c>
      <c r="R42" s="132">
        <f t="shared" si="18"/>
        <v>6099726</v>
      </c>
      <c r="S42" s="10">
        <f t="shared" si="18"/>
        <v>6099726</v>
      </c>
      <c r="T42" s="6" t="s">
        <v>261</v>
      </c>
      <c r="U42" s="6" t="s">
        <v>261</v>
      </c>
      <c r="V42" s="122">
        <f t="shared" si="0"/>
        <v>0</v>
      </c>
    </row>
    <row r="43" spans="1:22" s="15" customFormat="1" ht="15" customHeight="1">
      <c r="A43" s="286" t="s">
        <v>30</v>
      </c>
      <c r="B43" s="287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 aca="true" t="shared" si="19" ref="M43:S43">M42</f>
        <v>26141688.14</v>
      </c>
      <c r="N43" s="130">
        <f t="shared" si="19"/>
        <v>731877.3</v>
      </c>
      <c r="O43" s="111">
        <f t="shared" si="19"/>
        <v>7842510.139999999</v>
      </c>
      <c r="P43" s="143">
        <f t="shared" si="19"/>
        <v>731877.3</v>
      </c>
      <c r="Q43" s="111">
        <f t="shared" si="19"/>
        <v>6099726</v>
      </c>
      <c r="R43" s="136">
        <f t="shared" si="19"/>
        <v>6099726</v>
      </c>
      <c r="S43" s="12">
        <f t="shared" si="19"/>
        <v>6099726</v>
      </c>
      <c r="T43" s="12" t="s">
        <v>261</v>
      </c>
      <c r="U43" s="12" t="s">
        <v>261</v>
      </c>
      <c r="V43" s="122">
        <f t="shared" si="0"/>
        <v>0</v>
      </c>
    </row>
    <row r="44" spans="1:22" ht="15" customHeight="1">
      <c r="A44" s="270" t="s">
        <v>31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2"/>
      <c r="V44" s="122">
        <f t="shared" si="0"/>
        <v>0</v>
      </c>
    </row>
    <row r="45" spans="1:22" ht="13.5">
      <c r="A45" s="273" t="s">
        <v>32</v>
      </c>
      <c r="B45" s="274"/>
      <c r="C45" s="274"/>
      <c r="D45" s="274"/>
      <c r="E45" s="275"/>
      <c r="F45" s="2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9"/>
      <c r="V45" s="122">
        <f t="shared" si="0"/>
        <v>0</v>
      </c>
    </row>
    <row r="46" spans="1:22" ht="13.5">
      <c r="A46" s="59">
        <f>A41+1</f>
        <v>17</v>
      </c>
      <c r="B46" s="158" t="s">
        <v>286</v>
      </c>
      <c r="C46" s="147">
        <v>1990</v>
      </c>
      <c r="D46" s="6"/>
      <c r="E46" s="75" t="s">
        <v>265</v>
      </c>
      <c r="F46" s="154">
        <v>9</v>
      </c>
      <c r="G46" s="154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4">
        <v>94</v>
      </c>
      <c r="M46" s="10">
        <v>2340928.84</v>
      </c>
      <c r="N46" s="126">
        <v>66534.3</v>
      </c>
      <c r="O46" s="137">
        <f>M46-Q46-R46-S46</f>
        <v>702280.8399999999</v>
      </c>
      <c r="P46" s="139">
        <f>N46</f>
        <v>66534.3</v>
      </c>
      <c r="Q46" s="137">
        <v>546216</v>
      </c>
      <c r="R46" s="132">
        <f>Q46</f>
        <v>546216</v>
      </c>
      <c r="S46" s="10">
        <f>R46</f>
        <v>546216</v>
      </c>
      <c r="T46" s="11">
        <v>43464</v>
      </c>
      <c r="U46" s="75" t="s">
        <v>184</v>
      </c>
      <c r="V46" s="122">
        <f t="shared" si="0"/>
        <v>0</v>
      </c>
    </row>
    <row r="47" spans="1:22" ht="15" customHeight="1">
      <c r="A47" s="263" t="s">
        <v>23</v>
      </c>
      <c r="B47" s="264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 aca="true" t="shared" si="20" ref="H47:S47">SUM(H46:H46)</f>
        <v>1</v>
      </c>
      <c r="I47" s="6">
        <f t="shared" si="20"/>
        <v>2275.02</v>
      </c>
      <c r="J47" s="6">
        <f t="shared" si="20"/>
        <v>2071.06</v>
      </c>
      <c r="K47" s="6">
        <f t="shared" si="20"/>
        <v>1942.46</v>
      </c>
      <c r="L47" s="6">
        <f t="shared" si="20"/>
        <v>94</v>
      </c>
      <c r="M47" s="10">
        <f t="shared" si="20"/>
        <v>2340928.84</v>
      </c>
      <c r="N47" s="126">
        <f t="shared" si="20"/>
        <v>66534.3</v>
      </c>
      <c r="O47" s="109">
        <f t="shared" si="20"/>
        <v>702280.8399999999</v>
      </c>
      <c r="P47" s="139">
        <f t="shared" si="20"/>
        <v>66534.3</v>
      </c>
      <c r="Q47" s="109">
        <f t="shared" si="20"/>
        <v>546216</v>
      </c>
      <c r="R47" s="132">
        <f t="shared" si="20"/>
        <v>546216</v>
      </c>
      <c r="S47" s="10">
        <f t="shared" si="20"/>
        <v>546216</v>
      </c>
      <c r="T47" s="6" t="s">
        <v>261</v>
      </c>
      <c r="U47" s="6" t="s">
        <v>261</v>
      </c>
      <c r="V47" s="122">
        <f t="shared" si="0"/>
        <v>0</v>
      </c>
    </row>
    <row r="48" spans="1:22" ht="13.5">
      <c r="A48" s="273" t="s">
        <v>33</v>
      </c>
      <c r="B48" s="274"/>
      <c r="C48" s="274"/>
      <c r="D48" s="274"/>
      <c r="E48" s="275"/>
      <c r="F48" s="2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122">
        <f t="shared" si="0"/>
        <v>0</v>
      </c>
    </row>
    <row r="49" spans="1:22" ht="13.5">
      <c r="A49" s="59">
        <f>A46+1</f>
        <v>18</v>
      </c>
      <c r="B49" s="168" t="s">
        <v>287</v>
      </c>
      <c r="C49" s="147">
        <v>1980</v>
      </c>
      <c r="D49" s="6"/>
      <c r="E49" s="75" t="s">
        <v>265</v>
      </c>
      <c r="F49" s="154">
        <v>9</v>
      </c>
      <c r="G49" s="154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4">
        <v>1008</v>
      </c>
      <c r="M49" s="109">
        <v>9391994.06</v>
      </c>
      <c r="N49" s="169">
        <v>266137.2</v>
      </c>
      <c r="O49" s="137">
        <f>M49-Q49-R49-S49</f>
        <v>2817599.0600000005</v>
      </c>
      <c r="P49" s="139">
        <f>N49</f>
        <v>266137.2</v>
      </c>
      <c r="Q49" s="137">
        <v>2191465</v>
      </c>
      <c r="R49" s="132">
        <f>Q49</f>
        <v>2191465</v>
      </c>
      <c r="S49" s="10">
        <f>R49</f>
        <v>2191465</v>
      </c>
      <c r="T49" s="11">
        <v>43464</v>
      </c>
      <c r="U49" s="75" t="s">
        <v>184</v>
      </c>
      <c r="V49" s="122">
        <f t="shared" si="0"/>
        <v>0</v>
      </c>
    </row>
    <row r="50" spans="1:22" ht="13.5">
      <c r="A50" s="59">
        <f>A49+1</f>
        <v>19</v>
      </c>
      <c r="B50" s="168" t="s">
        <v>288</v>
      </c>
      <c r="C50" s="147">
        <v>1983</v>
      </c>
      <c r="D50" s="6"/>
      <c r="E50" s="75" t="s">
        <v>265</v>
      </c>
      <c r="F50" s="154">
        <v>9</v>
      </c>
      <c r="G50" s="154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4">
        <v>584</v>
      </c>
      <c r="M50" s="109">
        <v>2461653.46</v>
      </c>
      <c r="N50" s="169">
        <v>66534.3</v>
      </c>
      <c r="O50" s="137">
        <f>M50-Q50-R50-S50</f>
        <v>738498.46</v>
      </c>
      <c r="P50" s="139">
        <f>N50</f>
        <v>66534.3</v>
      </c>
      <c r="Q50" s="137">
        <v>574385</v>
      </c>
      <c r="R50" s="132">
        <f>Q50</f>
        <v>574385</v>
      </c>
      <c r="S50" s="10">
        <f>R50</f>
        <v>574385</v>
      </c>
      <c r="T50" s="11">
        <v>43464</v>
      </c>
      <c r="U50" s="75" t="s">
        <v>184</v>
      </c>
      <c r="V50" s="122">
        <f t="shared" si="0"/>
        <v>0</v>
      </c>
    </row>
    <row r="51" spans="1:22" ht="15" customHeight="1">
      <c r="A51" s="263" t="s">
        <v>23</v>
      </c>
      <c r="B51" s="264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 aca="true" t="shared" si="21" ref="H51:S51">SUM(H49:H50)</f>
        <v>5</v>
      </c>
      <c r="I51" s="10">
        <f t="shared" si="21"/>
        <v>34850.7</v>
      </c>
      <c r="J51" s="10">
        <f t="shared" si="21"/>
        <v>23729.309999999998</v>
      </c>
      <c r="K51" s="10">
        <f t="shared" si="21"/>
        <v>19392.47</v>
      </c>
      <c r="L51" s="10">
        <f t="shared" si="21"/>
        <v>1592</v>
      </c>
      <c r="M51" s="10">
        <f t="shared" si="21"/>
        <v>11853647.52</v>
      </c>
      <c r="N51" s="126">
        <f t="shared" si="21"/>
        <v>332671.5</v>
      </c>
      <c r="O51" s="109">
        <f t="shared" si="21"/>
        <v>3556097.5200000005</v>
      </c>
      <c r="P51" s="139">
        <f t="shared" si="21"/>
        <v>332671.5</v>
      </c>
      <c r="Q51" s="109">
        <f t="shared" si="21"/>
        <v>2765850</v>
      </c>
      <c r="R51" s="132">
        <f t="shared" si="21"/>
        <v>2765850</v>
      </c>
      <c r="S51" s="10">
        <f t="shared" si="21"/>
        <v>2765850</v>
      </c>
      <c r="T51" s="6" t="s">
        <v>261</v>
      </c>
      <c r="U51" s="6" t="s">
        <v>261</v>
      </c>
      <c r="V51" s="122">
        <f t="shared" si="0"/>
        <v>0</v>
      </c>
    </row>
    <row r="52" spans="1:22" ht="13.5">
      <c r="A52" s="273" t="s">
        <v>44</v>
      </c>
      <c r="B52" s="274"/>
      <c r="C52" s="274"/>
      <c r="D52" s="274"/>
      <c r="E52" s="275"/>
      <c r="F52" s="267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9"/>
      <c r="V52" s="122">
        <f t="shared" si="0"/>
        <v>0</v>
      </c>
    </row>
    <row r="53" spans="1:22" ht="13.5">
      <c r="A53" s="59">
        <f>A50+1</f>
        <v>20</v>
      </c>
      <c r="B53" s="170" t="s">
        <v>289</v>
      </c>
      <c r="C53" s="147">
        <v>1984</v>
      </c>
      <c r="D53" s="6"/>
      <c r="E53" s="75" t="s">
        <v>265</v>
      </c>
      <c r="F53" s="154">
        <v>9</v>
      </c>
      <c r="G53" s="154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1">
        <v>488</v>
      </c>
      <c r="M53" s="10">
        <v>11779839.7</v>
      </c>
      <c r="N53" s="126">
        <v>332671.5</v>
      </c>
      <c r="O53" s="137">
        <f>M53-Q53-R53-S53</f>
        <v>3533952.6999999993</v>
      </c>
      <c r="P53" s="139">
        <f>N53</f>
        <v>332671.5</v>
      </c>
      <c r="Q53" s="137">
        <v>2748629</v>
      </c>
      <c r="R53" s="132">
        <f aca="true" t="shared" si="22" ref="R53:S57">Q53</f>
        <v>2748629</v>
      </c>
      <c r="S53" s="10">
        <f t="shared" si="22"/>
        <v>2748629</v>
      </c>
      <c r="T53" s="11">
        <v>43464</v>
      </c>
      <c r="U53" s="75" t="s">
        <v>184</v>
      </c>
      <c r="V53" s="122">
        <f t="shared" si="0"/>
        <v>0</v>
      </c>
    </row>
    <row r="54" spans="1:22" ht="13.5">
      <c r="A54" s="59">
        <f>A53+1</f>
        <v>21</v>
      </c>
      <c r="B54" s="170" t="s">
        <v>290</v>
      </c>
      <c r="C54" s="147">
        <v>1983</v>
      </c>
      <c r="D54" s="6"/>
      <c r="E54" s="75" t="s">
        <v>265</v>
      </c>
      <c r="F54" s="154">
        <v>9</v>
      </c>
      <c r="G54" s="154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1">
        <v>457</v>
      </c>
      <c r="M54" s="10">
        <v>11795603.32</v>
      </c>
      <c r="N54" s="126">
        <v>332671.5</v>
      </c>
      <c r="O54" s="137">
        <f>M54-Q54-R54-S54</f>
        <v>3538682.3200000003</v>
      </c>
      <c r="P54" s="139">
        <f>N54</f>
        <v>332671.5</v>
      </c>
      <c r="Q54" s="137">
        <v>2752307</v>
      </c>
      <c r="R54" s="132">
        <f t="shared" si="22"/>
        <v>2752307</v>
      </c>
      <c r="S54" s="10">
        <f t="shared" si="22"/>
        <v>2752307</v>
      </c>
      <c r="T54" s="11">
        <v>43464</v>
      </c>
      <c r="U54" s="75" t="s">
        <v>184</v>
      </c>
      <c r="V54" s="122">
        <f t="shared" si="0"/>
        <v>0</v>
      </c>
    </row>
    <row r="55" spans="1:22" ht="13.5">
      <c r="A55" s="59">
        <f>A54+1</f>
        <v>22</v>
      </c>
      <c r="B55" s="170" t="s">
        <v>291</v>
      </c>
      <c r="C55" s="147">
        <v>1975</v>
      </c>
      <c r="D55" s="6"/>
      <c r="E55" s="75" t="s">
        <v>268</v>
      </c>
      <c r="F55" s="154">
        <v>9</v>
      </c>
      <c r="G55" s="154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1">
        <v>289</v>
      </c>
      <c r="M55" s="10">
        <v>4274966.54</v>
      </c>
      <c r="N55" s="126">
        <v>111047.44</v>
      </c>
      <c r="O55" s="137">
        <f>M55-Q55-R55-S55</f>
        <v>1282490.54</v>
      </c>
      <c r="P55" s="139">
        <f>N55</f>
        <v>111047.44</v>
      </c>
      <c r="Q55" s="137">
        <v>997492</v>
      </c>
      <c r="R55" s="132">
        <f t="shared" si="22"/>
        <v>997492</v>
      </c>
      <c r="S55" s="10">
        <f t="shared" si="22"/>
        <v>997492</v>
      </c>
      <c r="T55" s="11">
        <v>43464</v>
      </c>
      <c r="U55" s="75" t="s">
        <v>184</v>
      </c>
      <c r="V55" s="122">
        <f t="shared" si="0"/>
        <v>0</v>
      </c>
    </row>
    <row r="56" spans="1:22" ht="13.5">
      <c r="A56" s="59">
        <f>A55+1</f>
        <v>23</v>
      </c>
      <c r="B56" s="170" t="s">
        <v>292</v>
      </c>
      <c r="C56" s="147">
        <v>1985</v>
      </c>
      <c r="D56" s="6"/>
      <c r="E56" s="75" t="s">
        <v>265</v>
      </c>
      <c r="F56" s="154">
        <v>9</v>
      </c>
      <c r="G56" s="154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1">
        <v>706</v>
      </c>
      <c r="M56" s="10">
        <v>16517667.139999997</v>
      </c>
      <c r="N56" s="126">
        <v>465740.1</v>
      </c>
      <c r="O56" s="137">
        <f>M56-Q56-R56-S56</f>
        <v>4955301.139999997</v>
      </c>
      <c r="P56" s="139">
        <f>N56</f>
        <v>465740.1</v>
      </c>
      <c r="Q56" s="137">
        <v>3854122</v>
      </c>
      <c r="R56" s="132">
        <f t="shared" si="22"/>
        <v>3854122</v>
      </c>
      <c r="S56" s="10">
        <f t="shared" si="22"/>
        <v>3854122</v>
      </c>
      <c r="T56" s="11">
        <v>43464</v>
      </c>
      <c r="U56" s="75" t="s">
        <v>184</v>
      </c>
      <c r="V56" s="122">
        <f t="shared" si="0"/>
        <v>0</v>
      </c>
    </row>
    <row r="57" spans="1:23" ht="13.5">
      <c r="A57" s="59">
        <f>A56+1</f>
        <v>24</v>
      </c>
      <c r="B57" s="170" t="s">
        <v>293</v>
      </c>
      <c r="C57" s="147">
        <v>1989</v>
      </c>
      <c r="D57" s="6"/>
      <c r="E57" s="75" t="s">
        <v>268</v>
      </c>
      <c r="F57" s="154">
        <v>12</v>
      </c>
      <c r="G57" s="154">
        <v>1</v>
      </c>
      <c r="H57" s="6">
        <v>2</v>
      </c>
      <c r="I57" s="10">
        <v>7437.1</v>
      </c>
      <c r="J57" s="10">
        <v>6830</v>
      </c>
      <c r="K57" s="10">
        <v>6457.7</v>
      </c>
      <c r="L57" s="154">
        <v>328</v>
      </c>
      <c r="M57" s="6">
        <v>4642281.66</v>
      </c>
      <c r="N57" s="121">
        <v>122059.2</v>
      </c>
      <c r="O57" s="137">
        <f>M57-Q57-R57-S57</f>
        <v>1392684.6600000001</v>
      </c>
      <c r="P57" s="139">
        <f>N57</f>
        <v>122059.2</v>
      </c>
      <c r="Q57" s="144">
        <v>1083199</v>
      </c>
      <c r="R57" s="132">
        <f t="shared" si="22"/>
        <v>1083199</v>
      </c>
      <c r="S57" s="10">
        <f t="shared" si="22"/>
        <v>1083199</v>
      </c>
      <c r="T57" s="11">
        <v>43464</v>
      </c>
      <c r="U57" s="75" t="s">
        <v>184</v>
      </c>
      <c r="V57" s="122">
        <f t="shared" si="0"/>
        <v>0</v>
      </c>
      <c r="W57" s="4" t="s">
        <v>318</v>
      </c>
    </row>
    <row r="58" spans="1:22" ht="15" customHeight="1">
      <c r="A58" s="263" t="s">
        <v>23</v>
      </c>
      <c r="B58" s="264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 aca="true" t="shared" si="23" ref="H58:M58">SUM(H53:H57)</f>
        <v>21</v>
      </c>
      <c r="I58" s="10">
        <f t="shared" si="23"/>
        <v>53068.299999999996</v>
      </c>
      <c r="J58" s="10">
        <f t="shared" si="23"/>
        <v>43865.020000000004</v>
      </c>
      <c r="K58" s="10">
        <f t="shared" si="23"/>
        <v>37870.31</v>
      </c>
      <c r="L58" s="10">
        <f t="shared" si="23"/>
        <v>2268</v>
      </c>
      <c r="M58" s="10">
        <f t="shared" si="23"/>
        <v>49010358.36</v>
      </c>
      <c r="N58" s="126">
        <f aca="true" t="shared" si="24" ref="N58:S58">SUM(N53:N57)</f>
        <v>1364189.74</v>
      </c>
      <c r="O58" s="109">
        <f t="shared" si="24"/>
        <v>14703111.359999996</v>
      </c>
      <c r="P58" s="139">
        <f t="shared" si="24"/>
        <v>1364189.74</v>
      </c>
      <c r="Q58" s="109">
        <f t="shared" si="24"/>
        <v>11435749</v>
      </c>
      <c r="R58" s="132">
        <f t="shared" si="24"/>
        <v>11435749</v>
      </c>
      <c r="S58" s="10">
        <f t="shared" si="24"/>
        <v>11435749</v>
      </c>
      <c r="T58" s="6" t="s">
        <v>261</v>
      </c>
      <c r="U58" s="6" t="s">
        <v>261</v>
      </c>
      <c r="V58" s="122">
        <f t="shared" si="0"/>
        <v>0</v>
      </c>
    </row>
    <row r="59" spans="1:22" s="15" customFormat="1" ht="13.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4">
        <f t="shared" si="25"/>
        <v>90194.02</v>
      </c>
      <c r="J59" s="14">
        <f t="shared" si="25"/>
        <v>69665.39</v>
      </c>
      <c r="K59" s="14">
        <f t="shared" si="25"/>
        <v>59205.24</v>
      </c>
      <c r="L59" s="14">
        <f t="shared" si="25"/>
        <v>3954</v>
      </c>
      <c r="M59" s="14">
        <f t="shared" si="25"/>
        <v>63204934.72</v>
      </c>
      <c r="N59" s="128">
        <f t="shared" si="25"/>
        <v>1763395.54</v>
      </c>
      <c r="O59" s="111">
        <f t="shared" si="25"/>
        <v>18961489.719999995</v>
      </c>
      <c r="P59" s="141">
        <f t="shared" si="25"/>
        <v>1763395.54</v>
      </c>
      <c r="Q59" s="111">
        <f t="shared" si="25"/>
        <v>14747815</v>
      </c>
      <c r="R59" s="134">
        <f t="shared" si="25"/>
        <v>14747815</v>
      </c>
      <c r="S59" s="14">
        <f t="shared" si="25"/>
        <v>14747815</v>
      </c>
      <c r="T59" s="12" t="s">
        <v>261</v>
      </c>
      <c r="U59" s="12" t="s">
        <v>261</v>
      </c>
      <c r="V59" s="122">
        <f t="shared" si="0"/>
        <v>0</v>
      </c>
    </row>
    <row r="60" spans="1:22" ht="15" customHeight="1">
      <c r="A60" s="270" t="s">
        <v>38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2"/>
      <c r="V60" s="122">
        <f t="shared" si="0"/>
        <v>0</v>
      </c>
    </row>
    <row r="61" spans="1:22" ht="13.5">
      <c r="A61" s="273" t="s">
        <v>39</v>
      </c>
      <c r="B61" s="274"/>
      <c r="C61" s="274"/>
      <c r="D61" s="274"/>
      <c r="E61" s="275"/>
      <c r="F61" s="267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9"/>
      <c r="V61" s="122">
        <f t="shared" si="0"/>
        <v>0</v>
      </c>
    </row>
    <row r="62" spans="1:22" ht="13.5">
      <c r="A62" s="154">
        <f>A57+1</f>
        <v>25</v>
      </c>
      <c r="B62" s="170" t="s">
        <v>298</v>
      </c>
      <c r="C62" s="147">
        <v>1995</v>
      </c>
      <c r="D62" s="6"/>
      <c r="E62" s="76" t="s">
        <v>188</v>
      </c>
      <c r="F62" s="154">
        <v>9</v>
      </c>
      <c r="G62" s="154">
        <v>1</v>
      </c>
      <c r="H62" s="6">
        <v>1</v>
      </c>
      <c r="I62" s="10">
        <v>4294.5</v>
      </c>
      <c r="J62" s="10">
        <v>3229.2</v>
      </c>
      <c r="K62" s="10">
        <v>2388.5</v>
      </c>
      <c r="L62" s="154">
        <v>169</v>
      </c>
      <c r="M62" s="10">
        <v>2405345.04</v>
      </c>
      <c r="N62" s="126">
        <v>66534.3</v>
      </c>
      <c r="O62" s="137">
        <f>M62-Q62-R62-S62</f>
        <v>721604.04</v>
      </c>
      <c r="P62" s="139">
        <f>N62</f>
        <v>66534.3</v>
      </c>
      <c r="Q62" s="137">
        <v>561247</v>
      </c>
      <c r="R62" s="132">
        <f>Q62</f>
        <v>561247</v>
      </c>
      <c r="S62" s="10">
        <f>R62</f>
        <v>561247</v>
      </c>
      <c r="T62" s="11">
        <v>43464</v>
      </c>
      <c r="U62" s="75" t="s">
        <v>184</v>
      </c>
      <c r="V62" s="122">
        <f t="shared" si="0"/>
        <v>0</v>
      </c>
    </row>
    <row r="63" spans="1:22" ht="15" customHeight="1">
      <c r="A63" s="263" t="s">
        <v>23</v>
      </c>
      <c r="B63" s="264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 aca="true" t="shared" si="26" ref="H63:S63">SUM(H62:H62)</f>
        <v>1</v>
      </c>
      <c r="I63" s="6">
        <f t="shared" si="26"/>
        <v>4294.5</v>
      </c>
      <c r="J63" s="6">
        <f t="shared" si="26"/>
        <v>3229.2</v>
      </c>
      <c r="K63" s="6">
        <f t="shared" si="26"/>
        <v>2388.5</v>
      </c>
      <c r="L63" s="6">
        <f t="shared" si="26"/>
        <v>169</v>
      </c>
      <c r="M63" s="10">
        <f t="shared" si="26"/>
        <v>2405345.04</v>
      </c>
      <c r="N63" s="126">
        <f t="shared" si="26"/>
        <v>66534.3</v>
      </c>
      <c r="O63" s="109">
        <f t="shared" si="26"/>
        <v>721604.04</v>
      </c>
      <c r="P63" s="139">
        <f t="shared" si="26"/>
        <v>66534.3</v>
      </c>
      <c r="Q63" s="109">
        <f t="shared" si="26"/>
        <v>561247</v>
      </c>
      <c r="R63" s="132">
        <f t="shared" si="26"/>
        <v>561247</v>
      </c>
      <c r="S63" s="10">
        <f t="shared" si="26"/>
        <v>561247</v>
      </c>
      <c r="T63" s="6" t="s">
        <v>261</v>
      </c>
      <c r="U63" s="6" t="s">
        <v>261</v>
      </c>
      <c r="V63" s="122">
        <f t="shared" si="0"/>
        <v>0</v>
      </c>
    </row>
    <row r="64" spans="1:22" s="15" customFormat="1" ht="15" customHeight="1">
      <c r="A64" s="286" t="s">
        <v>40</v>
      </c>
      <c r="B64" s="287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 aca="true" t="shared" si="27" ref="M64:S64">M63</f>
        <v>2405345.04</v>
      </c>
      <c r="N64" s="130">
        <f t="shared" si="27"/>
        <v>66534.3</v>
      </c>
      <c r="O64" s="111">
        <f t="shared" si="27"/>
        <v>721604.04</v>
      </c>
      <c r="P64" s="143">
        <f t="shared" si="27"/>
        <v>66534.3</v>
      </c>
      <c r="Q64" s="111">
        <f t="shared" si="27"/>
        <v>561247</v>
      </c>
      <c r="R64" s="134">
        <f t="shared" si="27"/>
        <v>561247</v>
      </c>
      <c r="S64" s="14">
        <f t="shared" si="27"/>
        <v>561247</v>
      </c>
      <c r="T64" s="12" t="s">
        <v>261</v>
      </c>
      <c r="U64" s="12" t="s">
        <v>261</v>
      </c>
      <c r="V64" s="122">
        <f t="shared" si="0"/>
        <v>0</v>
      </c>
    </row>
    <row r="65" spans="1:22" ht="15" customHeight="1">
      <c r="A65" s="270" t="s">
        <v>181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2"/>
      <c r="V65" s="122">
        <f t="shared" si="0"/>
        <v>0</v>
      </c>
    </row>
    <row r="66" spans="1:22" ht="13.5">
      <c r="A66" s="59">
        <f>A62+1</f>
        <v>26</v>
      </c>
      <c r="B66" s="170" t="s">
        <v>303</v>
      </c>
      <c r="C66" s="147">
        <v>1984</v>
      </c>
      <c r="D66" s="6"/>
      <c r="E66" s="75" t="s">
        <v>268</v>
      </c>
      <c r="F66" s="154">
        <v>10</v>
      </c>
      <c r="G66" s="154">
        <v>1</v>
      </c>
      <c r="H66" s="6">
        <v>1</v>
      </c>
      <c r="I66" s="10">
        <v>2006.5</v>
      </c>
      <c r="J66" s="10">
        <v>2006.5</v>
      </c>
      <c r="K66" s="10">
        <v>1231.8</v>
      </c>
      <c r="L66" s="154">
        <v>87</v>
      </c>
      <c r="M66" s="10">
        <v>2402822.2</v>
      </c>
      <c r="N66" s="126">
        <v>66534.3</v>
      </c>
      <c r="O66" s="137">
        <f aca="true" t="shared" si="28" ref="O66:O74">M66-Q66-R66-S66</f>
        <v>720848.2000000002</v>
      </c>
      <c r="P66" s="139">
        <f aca="true" t="shared" si="29" ref="P66:P74">N66</f>
        <v>66534.3</v>
      </c>
      <c r="Q66" s="137">
        <v>560658</v>
      </c>
      <c r="R66" s="132">
        <f aca="true" t="shared" si="30" ref="R66:S74">Q66</f>
        <v>560658</v>
      </c>
      <c r="S66" s="10">
        <f t="shared" si="30"/>
        <v>560658</v>
      </c>
      <c r="T66" s="11">
        <v>43464</v>
      </c>
      <c r="U66" s="75" t="s">
        <v>184</v>
      </c>
      <c r="V66" s="122">
        <f t="shared" si="0"/>
        <v>0</v>
      </c>
    </row>
    <row r="67" spans="1:22" ht="13.5">
      <c r="A67" s="6">
        <f aca="true" t="shared" si="31" ref="A67:A74">A66+1</f>
        <v>27</v>
      </c>
      <c r="B67" s="170" t="s">
        <v>304</v>
      </c>
      <c r="C67" s="153">
        <v>1980</v>
      </c>
      <c r="D67" s="166"/>
      <c r="E67" s="75" t="s">
        <v>268</v>
      </c>
      <c r="F67" s="153">
        <v>9</v>
      </c>
      <c r="G67" s="153">
        <v>1</v>
      </c>
      <c r="H67" s="6">
        <v>1</v>
      </c>
      <c r="I67" s="152">
        <v>1945.2</v>
      </c>
      <c r="J67" s="152">
        <v>1945.2</v>
      </c>
      <c r="K67" s="152">
        <v>1186.8</v>
      </c>
      <c r="L67" s="153">
        <v>73</v>
      </c>
      <c r="M67" s="10">
        <v>2478450.76</v>
      </c>
      <c r="N67" s="126">
        <v>66534.3</v>
      </c>
      <c r="O67" s="137">
        <f t="shared" si="28"/>
        <v>743535.7599999998</v>
      </c>
      <c r="P67" s="139">
        <f t="shared" si="29"/>
        <v>66534.3</v>
      </c>
      <c r="Q67" s="137">
        <v>578305</v>
      </c>
      <c r="R67" s="132">
        <f t="shared" si="30"/>
        <v>578305</v>
      </c>
      <c r="S67" s="10">
        <f t="shared" si="30"/>
        <v>578305</v>
      </c>
      <c r="T67" s="11">
        <v>43464</v>
      </c>
      <c r="U67" s="75" t="s">
        <v>184</v>
      </c>
      <c r="V67" s="122">
        <f t="shared" si="0"/>
        <v>0</v>
      </c>
    </row>
    <row r="68" spans="1:22" ht="13.5">
      <c r="A68" s="6">
        <f t="shared" si="31"/>
        <v>28</v>
      </c>
      <c r="B68" s="170" t="s">
        <v>305</v>
      </c>
      <c r="C68" s="153">
        <v>1971</v>
      </c>
      <c r="D68" s="166"/>
      <c r="E68" s="75" t="s">
        <v>268</v>
      </c>
      <c r="F68" s="153">
        <v>9</v>
      </c>
      <c r="G68" s="153">
        <v>3</v>
      </c>
      <c r="H68" s="6">
        <v>3</v>
      </c>
      <c r="I68" s="152">
        <v>5546.8</v>
      </c>
      <c r="J68" s="172">
        <v>5497.37</v>
      </c>
      <c r="K68" s="172">
        <v>5336.5</v>
      </c>
      <c r="L68" s="153">
        <v>251</v>
      </c>
      <c r="M68" s="10">
        <v>7026040.96</v>
      </c>
      <c r="N68" s="126">
        <v>199602.90000000002</v>
      </c>
      <c r="O68" s="137">
        <f t="shared" si="28"/>
        <v>2107813.96</v>
      </c>
      <c r="P68" s="139">
        <f t="shared" si="29"/>
        <v>199602.90000000002</v>
      </c>
      <c r="Q68" s="137">
        <v>1639409</v>
      </c>
      <c r="R68" s="132">
        <f t="shared" si="30"/>
        <v>1639409</v>
      </c>
      <c r="S68" s="10">
        <f t="shared" si="30"/>
        <v>1639409</v>
      </c>
      <c r="T68" s="11">
        <v>43464</v>
      </c>
      <c r="U68" s="75" t="s">
        <v>184</v>
      </c>
      <c r="V68" s="122">
        <f t="shared" si="0"/>
        <v>0</v>
      </c>
    </row>
    <row r="69" spans="1:22" ht="13.5">
      <c r="A69" s="6">
        <f t="shared" si="31"/>
        <v>29</v>
      </c>
      <c r="B69" s="170" t="s">
        <v>306</v>
      </c>
      <c r="C69" s="147">
        <v>1971</v>
      </c>
      <c r="D69" s="6"/>
      <c r="E69" s="75" t="s">
        <v>268</v>
      </c>
      <c r="F69" s="154">
        <v>9</v>
      </c>
      <c r="G69" s="154">
        <v>3</v>
      </c>
      <c r="H69" s="6">
        <v>3</v>
      </c>
      <c r="I69" s="10">
        <v>5528.1</v>
      </c>
      <c r="J69" s="10">
        <v>5528.1</v>
      </c>
      <c r="K69" s="10">
        <v>3599.3</v>
      </c>
      <c r="L69" s="154">
        <v>264</v>
      </c>
      <c r="M69" s="109">
        <v>7019333.84</v>
      </c>
      <c r="N69" s="126">
        <v>199602.90000000002</v>
      </c>
      <c r="O69" s="137">
        <f t="shared" si="28"/>
        <v>2105801.84</v>
      </c>
      <c r="P69" s="139">
        <f t="shared" si="29"/>
        <v>199602.90000000002</v>
      </c>
      <c r="Q69" s="173">
        <v>1637844</v>
      </c>
      <c r="R69" s="132">
        <f t="shared" si="30"/>
        <v>1637844</v>
      </c>
      <c r="S69" s="10">
        <f t="shared" si="30"/>
        <v>1637844</v>
      </c>
      <c r="T69" s="11">
        <v>43464</v>
      </c>
      <c r="U69" s="75" t="s">
        <v>184</v>
      </c>
      <c r="V69" s="122">
        <f t="shared" si="0"/>
        <v>0</v>
      </c>
    </row>
    <row r="70" spans="1:22" ht="13.5">
      <c r="A70" s="6">
        <f t="shared" si="31"/>
        <v>30</v>
      </c>
      <c r="B70" s="170" t="s">
        <v>307</v>
      </c>
      <c r="C70" s="153">
        <v>1967</v>
      </c>
      <c r="D70" s="166"/>
      <c r="E70" s="75" t="s">
        <v>268</v>
      </c>
      <c r="F70" s="153">
        <v>9</v>
      </c>
      <c r="G70" s="153">
        <v>1</v>
      </c>
      <c r="H70" s="6">
        <v>1</v>
      </c>
      <c r="I70" s="152">
        <v>2050.2</v>
      </c>
      <c r="J70" s="172">
        <v>1939.7</v>
      </c>
      <c r="K70" s="172">
        <v>1939.7</v>
      </c>
      <c r="L70" s="153">
        <v>70</v>
      </c>
      <c r="M70" s="10">
        <v>3680239.46</v>
      </c>
      <c r="N70" s="126">
        <v>66534.3</v>
      </c>
      <c r="O70" s="137">
        <f t="shared" si="28"/>
        <v>1104073.46</v>
      </c>
      <c r="P70" s="139">
        <f t="shared" si="29"/>
        <v>66534.3</v>
      </c>
      <c r="Q70" s="137">
        <v>858722</v>
      </c>
      <c r="R70" s="132">
        <f t="shared" si="30"/>
        <v>858722</v>
      </c>
      <c r="S70" s="10">
        <f t="shared" si="30"/>
        <v>858722</v>
      </c>
      <c r="T70" s="11">
        <v>43464</v>
      </c>
      <c r="U70" s="75" t="s">
        <v>184</v>
      </c>
      <c r="V70" s="122">
        <f t="shared" si="0"/>
        <v>0</v>
      </c>
    </row>
    <row r="71" spans="1:22" ht="13.5">
      <c r="A71" s="6">
        <f t="shared" si="31"/>
        <v>31</v>
      </c>
      <c r="B71" s="170" t="s">
        <v>308</v>
      </c>
      <c r="C71" s="153">
        <v>1979</v>
      </c>
      <c r="D71" s="166"/>
      <c r="E71" s="76" t="s">
        <v>188</v>
      </c>
      <c r="F71" s="153">
        <v>9</v>
      </c>
      <c r="G71" s="153">
        <v>6</v>
      </c>
      <c r="H71" s="6">
        <v>6</v>
      </c>
      <c r="I71" s="152">
        <v>12483</v>
      </c>
      <c r="J71" s="152">
        <v>11198</v>
      </c>
      <c r="K71" s="152">
        <v>10050.9</v>
      </c>
      <c r="L71" s="153">
        <v>549</v>
      </c>
      <c r="M71" s="10">
        <v>14104556.52</v>
      </c>
      <c r="N71" s="126">
        <v>399205.8</v>
      </c>
      <c r="O71" s="137">
        <f t="shared" si="28"/>
        <v>4231367.52</v>
      </c>
      <c r="P71" s="139">
        <f t="shared" si="29"/>
        <v>399205.8</v>
      </c>
      <c r="Q71" s="137">
        <v>3291063</v>
      </c>
      <c r="R71" s="132">
        <f t="shared" si="30"/>
        <v>3291063</v>
      </c>
      <c r="S71" s="10">
        <f t="shared" si="30"/>
        <v>3291063</v>
      </c>
      <c r="T71" s="11">
        <v>43464</v>
      </c>
      <c r="U71" s="75" t="s">
        <v>184</v>
      </c>
      <c r="V71" s="122">
        <f t="shared" si="0"/>
        <v>0</v>
      </c>
    </row>
    <row r="72" spans="1:22" ht="13.5">
      <c r="A72" s="6">
        <f t="shared" si="31"/>
        <v>32</v>
      </c>
      <c r="B72" s="170" t="s">
        <v>309</v>
      </c>
      <c r="C72" s="153">
        <v>1982</v>
      </c>
      <c r="D72" s="166"/>
      <c r="E72" s="75" t="s">
        <v>268</v>
      </c>
      <c r="F72" s="153">
        <v>9</v>
      </c>
      <c r="G72" s="153">
        <v>1</v>
      </c>
      <c r="H72" s="6">
        <v>1</v>
      </c>
      <c r="I72" s="152">
        <v>2322.2</v>
      </c>
      <c r="J72" s="152">
        <v>1933.8</v>
      </c>
      <c r="K72" s="152">
        <v>1933.8</v>
      </c>
      <c r="L72" s="153">
        <v>87</v>
      </c>
      <c r="M72" s="10">
        <v>2427414.58</v>
      </c>
      <c r="N72" s="126">
        <v>66534.3</v>
      </c>
      <c r="O72" s="137">
        <f t="shared" si="28"/>
        <v>728226.5800000001</v>
      </c>
      <c r="P72" s="139">
        <f t="shared" si="29"/>
        <v>66534.3</v>
      </c>
      <c r="Q72" s="137">
        <v>566396</v>
      </c>
      <c r="R72" s="132">
        <f t="shared" si="30"/>
        <v>566396</v>
      </c>
      <c r="S72" s="10">
        <f t="shared" si="30"/>
        <v>566396</v>
      </c>
      <c r="T72" s="11">
        <v>43464</v>
      </c>
      <c r="U72" s="75" t="s">
        <v>184</v>
      </c>
      <c r="V72" s="122">
        <f t="shared" si="0"/>
        <v>0</v>
      </c>
    </row>
    <row r="73" spans="1:22" ht="13.5">
      <c r="A73" s="6">
        <f t="shared" si="31"/>
        <v>33</v>
      </c>
      <c r="B73" s="157" t="s">
        <v>310</v>
      </c>
      <c r="C73" s="153">
        <v>1982</v>
      </c>
      <c r="D73" s="166"/>
      <c r="E73" s="75" t="s">
        <v>268</v>
      </c>
      <c r="F73" s="153">
        <v>9</v>
      </c>
      <c r="G73" s="153">
        <v>1</v>
      </c>
      <c r="H73" s="6">
        <v>1</v>
      </c>
      <c r="I73" s="152">
        <v>2243</v>
      </c>
      <c r="J73" s="152">
        <v>1954</v>
      </c>
      <c r="K73" s="152">
        <v>1791.6</v>
      </c>
      <c r="L73" s="153">
        <v>96</v>
      </c>
      <c r="M73" s="10">
        <v>2427414.58</v>
      </c>
      <c r="N73" s="126">
        <v>66534.3</v>
      </c>
      <c r="O73" s="137">
        <f t="shared" si="28"/>
        <v>728226.5800000001</v>
      </c>
      <c r="P73" s="139">
        <f t="shared" si="29"/>
        <v>66534.3</v>
      </c>
      <c r="Q73" s="137">
        <v>566396</v>
      </c>
      <c r="R73" s="132">
        <f t="shared" si="30"/>
        <v>566396</v>
      </c>
      <c r="S73" s="10">
        <f t="shared" si="30"/>
        <v>566396</v>
      </c>
      <c r="T73" s="11">
        <v>43464</v>
      </c>
      <c r="U73" s="75" t="s">
        <v>184</v>
      </c>
      <c r="V73" s="122">
        <f t="shared" si="0"/>
        <v>0</v>
      </c>
    </row>
    <row r="74" spans="1:22" ht="13.5">
      <c r="A74" s="6">
        <f t="shared" si="31"/>
        <v>34</v>
      </c>
      <c r="B74" s="157" t="s">
        <v>311</v>
      </c>
      <c r="C74" s="174">
        <v>1980</v>
      </c>
      <c r="D74" s="175"/>
      <c r="E74" s="75" t="s">
        <v>268</v>
      </c>
      <c r="F74" s="174">
        <v>9</v>
      </c>
      <c r="G74" s="174">
        <v>1</v>
      </c>
      <c r="H74" s="6">
        <v>1</v>
      </c>
      <c r="I74" s="175">
        <v>6080.6</v>
      </c>
      <c r="J74" s="175">
        <v>6080.6</v>
      </c>
      <c r="K74" s="175">
        <v>3128</v>
      </c>
      <c r="L74" s="174">
        <v>262</v>
      </c>
      <c r="M74" s="10">
        <v>2383923.32</v>
      </c>
      <c r="N74" s="126">
        <v>66534.3</v>
      </c>
      <c r="O74" s="137">
        <f t="shared" si="28"/>
        <v>715089.3199999998</v>
      </c>
      <c r="P74" s="139">
        <f t="shared" si="29"/>
        <v>66534.3</v>
      </c>
      <c r="Q74" s="137">
        <v>556278</v>
      </c>
      <c r="R74" s="132">
        <f t="shared" si="30"/>
        <v>556278</v>
      </c>
      <c r="S74" s="10">
        <f t="shared" si="30"/>
        <v>556278</v>
      </c>
      <c r="T74" s="11">
        <v>43464</v>
      </c>
      <c r="U74" s="75" t="s">
        <v>184</v>
      </c>
      <c r="V74" s="122">
        <f t="shared" si="0"/>
        <v>0</v>
      </c>
    </row>
    <row r="75" spans="1:22" s="15" customFormat="1" ht="15" customHeight="1">
      <c r="A75" s="286" t="s">
        <v>23</v>
      </c>
      <c r="B75" s="287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4">
        <f t="shared" si="32"/>
        <v>40205.6</v>
      </c>
      <c r="J75" s="14">
        <f t="shared" si="32"/>
        <v>38083.27</v>
      </c>
      <c r="K75" s="14">
        <f t="shared" si="32"/>
        <v>30198.399999999998</v>
      </c>
      <c r="L75" s="14">
        <f t="shared" si="32"/>
        <v>1739</v>
      </c>
      <c r="M75" s="14">
        <f t="shared" si="32"/>
        <v>43950196.21999999</v>
      </c>
      <c r="N75" s="128">
        <f t="shared" si="32"/>
        <v>1197617.4000000001</v>
      </c>
      <c r="O75" s="111">
        <f t="shared" si="32"/>
        <v>13184983.219999999</v>
      </c>
      <c r="P75" s="141">
        <f t="shared" si="32"/>
        <v>1197617.4000000001</v>
      </c>
      <c r="Q75" s="111">
        <f t="shared" si="32"/>
        <v>10255071</v>
      </c>
      <c r="R75" s="134">
        <f t="shared" si="32"/>
        <v>10255071</v>
      </c>
      <c r="S75" s="14">
        <f t="shared" si="32"/>
        <v>10255071</v>
      </c>
      <c r="T75" s="12" t="s">
        <v>261</v>
      </c>
      <c r="U75" s="12" t="s">
        <v>261</v>
      </c>
      <c r="V75" s="122">
        <f t="shared" si="0"/>
        <v>0</v>
      </c>
    </row>
    <row r="76" spans="1:22" ht="15" customHeight="1">
      <c r="A76" s="270" t="s">
        <v>180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2"/>
      <c r="V76" s="122">
        <f t="shared" si="0"/>
        <v>0</v>
      </c>
    </row>
    <row r="77" spans="1:22" ht="13.5">
      <c r="A77" s="273" t="s">
        <v>41</v>
      </c>
      <c r="B77" s="274"/>
      <c r="C77" s="274"/>
      <c r="D77" s="274"/>
      <c r="E77" s="275"/>
      <c r="F77" s="267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9"/>
      <c r="V77" s="122">
        <f aca="true" t="shared" si="33" ref="V77:V84">M77+N77-O77-P77-Q77-R77-S77</f>
        <v>0</v>
      </c>
    </row>
    <row r="78" spans="1:22" ht="13.5">
      <c r="A78" s="165">
        <f>A74+1</f>
        <v>35</v>
      </c>
      <c r="B78" s="170" t="s">
        <v>312</v>
      </c>
      <c r="C78" s="147">
        <v>1990</v>
      </c>
      <c r="D78" s="8"/>
      <c r="E78" s="75" t="s">
        <v>313</v>
      </c>
      <c r="F78" s="147">
        <v>9</v>
      </c>
      <c r="G78" s="147">
        <v>5</v>
      </c>
      <c r="H78" s="6">
        <v>5</v>
      </c>
      <c r="I78" s="148">
        <v>12617.19</v>
      </c>
      <c r="J78" s="148">
        <v>10892.59</v>
      </c>
      <c r="K78" s="148">
        <v>9984.01</v>
      </c>
      <c r="L78" s="147">
        <v>544</v>
      </c>
      <c r="M78" s="10">
        <v>12079778</v>
      </c>
      <c r="N78" s="126">
        <v>332671.5</v>
      </c>
      <c r="O78" s="137">
        <f>M78-Q78-R78-S78</f>
        <v>3623936</v>
      </c>
      <c r="P78" s="139">
        <f>N78</f>
        <v>332671.5</v>
      </c>
      <c r="Q78" s="137">
        <v>2818614</v>
      </c>
      <c r="R78" s="132">
        <f>Q78</f>
        <v>2818614</v>
      </c>
      <c r="S78" s="10">
        <f>R78</f>
        <v>2818614</v>
      </c>
      <c r="T78" s="11">
        <v>43464</v>
      </c>
      <c r="U78" s="75" t="s">
        <v>184</v>
      </c>
      <c r="V78" s="122">
        <f t="shared" si="33"/>
        <v>0</v>
      </c>
    </row>
    <row r="79" spans="1:22" ht="15" customHeight="1">
      <c r="A79" s="263" t="s">
        <v>23</v>
      </c>
      <c r="B79" s="264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 aca="true" t="shared" si="34" ref="J79:S79">J78</f>
        <v>10892.59</v>
      </c>
      <c r="K79" s="10">
        <f t="shared" si="34"/>
        <v>9984.01</v>
      </c>
      <c r="L79" s="10">
        <f t="shared" si="34"/>
        <v>544</v>
      </c>
      <c r="M79" s="10">
        <f t="shared" si="34"/>
        <v>12079778</v>
      </c>
      <c r="N79" s="126">
        <f t="shared" si="34"/>
        <v>332671.5</v>
      </c>
      <c r="O79" s="109">
        <f t="shared" si="34"/>
        <v>3623936</v>
      </c>
      <c r="P79" s="139">
        <f t="shared" si="34"/>
        <v>332671.5</v>
      </c>
      <c r="Q79" s="109">
        <f t="shared" si="34"/>
        <v>2818614</v>
      </c>
      <c r="R79" s="132">
        <f t="shared" si="34"/>
        <v>2818614</v>
      </c>
      <c r="S79" s="10">
        <f t="shared" si="34"/>
        <v>2818614</v>
      </c>
      <c r="T79" s="6" t="s">
        <v>261</v>
      </c>
      <c r="U79" s="6" t="s">
        <v>261</v>
      </c>
      <c r="V79" s="122">
        <f t="shared" si="33"/>
        <v>0</v>
      </c>
    </row>
    <row r="80" spans="1:22" s="15" customFormat="1" ht="15" customHeight="1">
      <c r="A80" s="286" t="s">
        <v>42</v>
      </c>
      <c r="B80" s="287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 aca="true" t="shared" si="35" ref="J80:S80">J79</f>
        <v>10892.59</v>
      </c>
      <c r="K80" s="12">
        <f t="shared" si="35"/>
        <v>9984.01</v>
      </c>
      <c r="L80" s="12">
        <f t="shared" si="35"/>
        <v>544</v>
      </c>
      <c r="M80" s="14">
        <f t="shared" si="35"/>
        <v>12079778</v>
      </c>
      <c r="N80" s="128">
        <f t="shared" si="35"/>
        <v>332671.5</v>
      </c>
      <c r="O80" s="111">
        <f t="shared" si="35"/>
        <v>3623936</v>
      </c>
      <c r="P80" s="141">
        <f t="shared" si="35"/>
        <v>332671.5</v>
      </c>
      <c r="Q80" s="111">
        <f t="shared" si="35"/>
        <v>2818614</v>
      </c>
      <c r="R80" s="134">
        <f t="shared" si="35"/>
        <v>2818614</v>
      </c>
      <c r="S80" s="14">
        <f t="shared" si="35"/>
        <v>2818614</v>
      </c>
      <c r="T80" s="6" t="s">
        <v>261</v>
      </c>
      <c r="U80" s="6" t="s">
        <v>261</v>
      </c>
      <c r="V80" s="122">
        <f t="shared" si="33"/>
        <v>0</v>
      </c>
    </row>
    <row r="81" spans="1:22" s="15" customFormat="1" ht="13.5">
      <c r="A81" s="284" t="s">
        <v>43</v>
      </c>
      <c r="B81" s="285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 aca="true" t="shared" si="36" ref="M81:S81">M80+M75+M64+M59+M43+M25+M15+M35</f>
        <v>253152985.04000002</v>
      </c>
      <c r="N81" s="128">
        <f t="shared" si="36"/>
        <v>7008597.02</v>
      </c>
      <c r="O81" s="111">
        <f t="shared" si="36"/>
        <v>75945850.03999998</v>
      </c>
      <c r="P81" s="141">
        <f t="shared" si="36"/>
        <v>7008597.02</v>
      </c>
      <c r="Q81" s="111">
        <f t="shared" si="36"/>
        <v>59069045</v>
      </c>
      <c r="R81" s="134">
        <f t="shared" si="36"/>
        <v>59069045</v>
      </c>
      <c r="S81" s="14">
        <f t="shared" si="36"/>
        <v>59069045</v>
      </c>
      <c r="T81" s="12" t="s">
        <v>261</v>
      </c>
      <c r="U81" s="12" t="s">
        <v>261</v>
      </c>
      <c r="V81" s="122">
        <f t="shared" si="33"/>
        <v>0</v>
      </c>
    </row>
    <row r="82" spans="1:22" s="15" customFormat="1" ht="13.5">
      <c r="A82" s="150" t="s">
        <v>22</v>
      </c>
      <c r="B82" s="151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8"/>
      <c r="O82" s="111">
        <f>O81</f>
        <v>75945850.03999998</v>
      </c>
      <c r="P82" s="141">
        <f>P81</f>
        <v>7008597.02</v>
      </c>
      <c r="Q82" s="111">
        <f>Q81</f>
        <v>59069045</v>
      </c>
      <c r="R82" s="134">
        <f>R81</f>
        <v>59069045</v>
      </c>
      <c r="S82" s="14">
        <f>S81</f>
        <v>59069045</v>
      </c>
      <c r="T82" s="94"/>
      <c r="U82" s="94"/>
      <c r="V82" s="122">
        <f t="shared" si="33"/>
        <v>0</v>
      </c>
    </row>
    <row r="83" spans="1:22" s="15" customFormat="1" ht="13.5">
      <c r="A83" s="150"/>
      <c r="B83" s="151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8"/>
      <c r="O83" s="111">
        <f>M83</f>
        <v>5417473.879856</v>
      </c>
      <c r="P83" s="141"/>
      <c r="Q83" s="111"/>
      <c r="R83" s="134"/>
      <c r="S83" s="14"/>
      <c r="T83" s="94"/>
      <c r="U83" s="94"/>
      <c r="V83" s="122">
        <f t="shared" si="33"/>
        <v>0</v>
      </c>
    </row>
    <row r="84" spans="1:22" s="15" customFormat="1" ht="13.5">
      <c r="A84" s="150"/>
      <c r="B84" s="151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8">
        <f aca="true" t="shared" si="37" ref="N84:S84">N83+N82</f>
        <v>0</v>
      </c>
      <c r="O84" s="111">
        <f t="shared" si="37"/>
        <v>81363323.91985598</v>
      </c>
      <c r="P84" s="141">
        <f t="shared" si="37"/>
        <v>7008597.02</v>
      </c>
      <c r="Q84" s="111">
        <f t="shared" si="37"/>
        <v>59069045</v>
      </c>
      <c r="R84" s="134">
        <f t="shared" si="37"/>
        <v>59069045</v>
      </c>
      <c r="S84" s="14">
        <f t="shared" si="37"/>
        <v>59069045</v>
      </c>
      <c r="T84" s="14"/>
      <c r="U84" s="94"/>
      <c r="V84" s="122">
        <f t="shared" si="33"/>
        <v>0</v>
      </c>
    </row>
  </sheetData>
  <sheetProtection/>
  <autoFilter ref="A9:U81"/>
  <mergeCells count="68">
    <mergeCell ref="F4:F8"/>
    <mergeCell ref="U4:U8"/>
    <mergeCell ref="O4:S5"/>
    <mergeCell ref="H4:H8"/>
    <mergeCell ref="J5:J7"/>
    <mergeCell ref="T4:T8"/>
    <mergeCell ref="K5:K7"/>
    <mergeCell ref="I4:I7"/>
    <mergeCell ref="F52:U52"/>
    <mergeCell ref="A10:U10"/>
    <mergeCell ref="N4:N7"/>
    <mergeCell ref="F17:U17"/>
    <mergeCell ref="A47:B47"/>
    <mergeCell ref="A16:U16"/>
    <mergeCell ref="M4:M7"/>
    <mergeCell ref="A43:B43"/>
    <mergeCell ref="D5:D8"/>
    <mergeCell ref="J4:K4"/>
    <mergeCell ref="A25:B25"/>
    <mergeCell ref="F27:U27"/>
    <mergeCell ref="A77:E77"/>
    <mergeCell ref="F11:U11"/>
    <mergeCell ref="A24:B24"/>
    <mergeCell ref="A26:U26"/>
    <mergeCell ref="A15:B15"/>
    <mergeCell ref="A11:E11"/>
    <mergeCell ref="A14:B14"/>
    <mergeCell ref="A27:E27"/>
    <mergeCell ref="A80:B80"/>
    <mergeCell ref="A48:E48"/>
    <mergeCell ref="A79:B79"/>
    <mergeCell ref="A76:U76"/>
    <mergeCell ref="A75:B75"/>
    <mergeCell ref="A63:B63"/>
    <mergeCell ref="A51:B51"/>
    <mergeCell ref="A65:U65"/>
    <mergeCell ref="A58:B58"/>
    <mergeCell ref="F48:U48"/>
    <mergeCell ref="A81:B81"/>
    <mergeCell ref="F77:U77"/>
    <mergeCell ref="F45:U45"/>
    <mergeCell ref="F61:U61"/>
    <mergeCell ref="A60:U60"/>
    <mergeCell ref="A44:U44"/>
    <mergeCell ref="A64:B64"/>
    <mergeCell ref="A52:E52"/>
    <mergeCell ref="A45:E45"/>
    <mergeCell ref="A61:E61"/>
    <mergeCell ref="D2:S2"/>
    <mergeCell ref="A4:A8"/>
    <mergeCell ref="B4:B8"/>
    <mergeCell ref="C4:D4"/>
    <mergeCell ref="E4:E8"/>
    <mergeCell ref="C5:C8"/>
    <mergeCell ref="Q6:Q7"/>
    <mergeCell ref="R6:R7"/>
    <mergeCell ref="L4:L7"/>
    <mergeCell ref="G4:G8"/>
    <mergeCell ref="A42:B42"/>
    <mergeCell ref="S6:S7"/>
    <mergeCell ref="O6:P7"/>
    <mergeCell ref="A34:B34"/>
    <mergeCell ref="F37:U37"/>
    <mergeCell ref="A36:U36"/>
    <mergeCell ref="A37:E37"/>
    <mergeCell ref="A35:C35"/>
    <mergeCell ref="A20:B20"/>
    <mergeCell ref="A17:E1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6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0" sqref="P20"/>
    </sheetView>
  </sheetViews>
  <sheetFormatPr defaultColWidth="9.28125" defaultRowHeight="15"/>
  <cols>
    <col min="1" max="1" width="6.7109375" style="194" customWidth="1"/>
    <col min="2" max="2" width="73.28125" style="194" customWidth="1"/>
    <col min="3" max="3" width="14.28125" style="195" customWidth="1"/>
    <col min="4" max="4" width="9.57421875" style="196" hidden="1" customWidth="1"/>
    <col min="5" max="5" width="15.421875" style="196" customWidth="1"/>
    <col min="6" max="6" width="10.421875" style="196" customWidth="1"/>
    <col min="7" max="8" width="10.57421875" style="196" customWidth="1"/>
    <col min="9" max="9" width="14.00390625" style="197" customWidth="1"/>
    <col min="10" max="10" width="13.7109375" style="197" customWidth="1"/>
    <col min="11" max="11" width="17.28125" style="197" customWidth="1"/>
    <col min="12" max="12" width="12.00390625" style="198" customWidth="1"/>
    <col min="13" max="13" width="19.00390625" style="197" customWidth="1"/>
    <col min="14" max="14" width="23.7109375" style="250" customWidth="1"/>
    <col min="15" max="15" width="20.8515625" style="197" customWidth="1"/>
    <col min="16" max="16" width="19.421875" style="197" customWidth="1"/>
    <col min="17" max="17" width="18.57421875" style="197" customWidth="1"/>
    <col min="18" max="18" width="17.421875" style="197" customWidth="1"/>
    <col min="19" max="19" width="14.28125" style="196" customWidth="1"/>
    <col min="20" max="20" width="15.28125" style="196" customWidth="1"/>
    <col min="21" max="21" width="16.28125" style="194" customWidth="1"/>
    <col min="22" max="25" width="9.28125" style="194" customWidth="1"/>
    <col min="26" max="16384" width="9.28125" style="194" customWidth="1"/>
  </cols>
  <sheetData>
    <row r="1" ht="15">
      <c r="R1" s="176" t="s">
        <v>383</v>
      </c>
    </row>
    <row r="2" ht="15">
      <c r="R2" s="176" t="s">
        <v>382</v>
      </c>
    </row>
    <row r="3" ht="15">
      <c r="R3" s="176" t="s">
        <v>384</v>
      </c>
    </row>
    <row r="4" spans="1:20" s="199" customFormat="1" ht="14.25" customHeight="1">
      <c r="A4" s="300" t="s">
        <v>381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s="199" customFormat="1" ht="45.75" customHeight="1">
      <c r="A5" s="301" t="s">
        <v>1</v>
      </c>
      <c r="B5" s="301" t="s">
        <v>0</v>
      </c>
      <c r="C5" s="304" t="s">
        <v>2</v>
      </c>
      <c r="D5" s="305"/>
      <c r="E5" s="310" t="s">
        <v>3</v>
      </c>
      <c r="F5" s="310" t="s">
        <v>4</v>
      </c>
      <c r="G5" s="310" t="s">
        <v>5</v>
      </c>
      <c r="H5" s="310" t="s">
        <v>257</v>
      </c>
      <c r="I5" s="298" t="s">
        <v>6</v>
      </c>
      <c r="J5" s="332" t="s">
        <v>7</v>
      </c>
      <c r="K5" s="334"/>
      <c r="L5" s="340" t="s">
        <v>8</v>
      </c>
      <c r="M5" s="316" t="s">
        <v>335</v>
      </c>
      <c r="N5" s="332" t="s">
        <v>327</v>
      </c>
      <c r="O5" s="333"/>
      <c r="P5" s="334"/>
      <c r="Q5" s="343" t="s">
        <v>333</v>
      </c>
      <c r="R5" s="316" t="s">
        <v>334</v>
      </c>
      <c r="S5" s="324" t="s">
        <v>9</v>
      </c>
      <c r="T5" s="324" t="s">
        <v>10</v>
      </c>
    </row>
    <row r="6" spans="1:20" s="199" customFormat="1" ht="48.75" customHeight="1">
      <c r="A6" s="302"/>
      <c r="B6" s="302"/>
      <c r="C6" s="306"/>
      <c r="D6" s="307"/>
      <c r="E6" s="311"/>
      <c r="F6" s="311"/>
      <c r="G6" s="311"/>
      <c r="H6" s="311"/>
      <c r="I6" s="315"/>
      <c r="J6" s="298" t="s">
        <v>13</v>
      </c>
      <c r="K6" s="298" t="s">
        <v>14</v>
      </c>
      <c r="L6" s="341"/>
      <c r="M6" s="323"/>
      <c r="N6" s="335"/>
      <c r="O6" s="336"/>
      <c r="P6" s="337"/>
      <c r="Q6" s="344"/>
      <c r="R6" s="317"/>
      <c r="S6" s="325"/>
      <c r="T6" s="325"/>
    </row>
    <row r="7" spans="1:20" s="199" customFormat="1" ht="48" customHeight="1">
      <c r="A7" s="302"/>
      <c r="B7" s="302"/>
      <c r="C7" s="306"/>
      <c r="D7" s="307"/>
      <c r="E7" s="311"/>
      <c r="F7" s="311"/>
      <c r="G7" s="311"/>
      <c r="H7" s="311"/>
      <c r="I7" s="299"/>
      <c r="J7" s="299"/>
      <c r="K7" s="299"/>
      <c r="L7" s="342"/>
      <c r="M7" s="317"/>
      <c r="N7" s="249" t="s">
        <v>345</v>
      </c>
      <c r="O7" s="227" t="s">
        <v>330</v>
      </c>
      <c r="P7" s="227" t="s">
        <v>331</v>
      </c>
      <c r="Q7" s="228" t="s">
        <v>332</v>
      </c>
      <c r="R7" s="228" t="s">
        <v>332</v>
      </c>
      <c r="S7" s="325"/>
      <c r="T7" s="325"/>
    </row>
    <row r="8" spans="1:20" s="199" customFormat="1" ht="15">
      <c r="A8" s="303"/>
      <c r="B8" s="303"/>
      <c r="C8" s="308"/>
      <c r="D8" s="309"/>
      <c r="E8" s="312"/>
      <c r="F8" s="312"/>
      <c r="G8" s="312"/>
      <c r="H8" s="312"/>
      <c r="I8" s="227" t="s">
        <v>15</v>
      </c>
      <c r="J8" s="227" t="s">
        <v>15</v>
      </c>
      <c r="K8" s="227" t="s">
        <v>15</v>
      </c>
      <c r="L8" s="216" t="s">
        <v>16</v>
      </c>
      <c r="M8" s="227" t="s">
        <v>17</v>
      </c>
      <c r="N8" s="227" t="s">
        <v>17</v>
      </c>
      <c r="O8" s="227" t="s">
        <v>17</v>
      </c>
      <c r="P8" s="227" t="s">
        <v>17</v>
      </c>
      <c r="Q8" s="227" t="s">
        <v>17</v>
      </c>
      <c r="R8" s="227" t="s">
        <v>17</v>
      </c>
      <c r="S8" s="326"/>
      <c r="T8" s="326"/>
    </row>
    <row r="9" spans="1:20" s="200" customFormat="1" ht="15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9">
        <v>9</v>
      </c>
      <c r="J9" s="179">
        <v>10</v>
      </c>
      <c r="K9" s="179">
        <v>11</v>
      </c>
      <c r="L9" s="179">
        <v>12</v>
      </c>
      <c r="M9" s="179">
        <v>13</v>
      </c>
      <c r="N9" s="252"/>
      <c r="O9" s="179">
        <v>14</v>
      </c>
      <c r="P9" s="179">
        <v>15</v>
      </c>
      <c r="Q9" s="179">
        <v>16</v>
      </c>
      <c r="R9" s="179">
        <v>17</v>
      </c>
      <c r="S9" s="179">
        <v>18</v>
      </c>
      <c r="T9" s="179">
        <v>19</v>
      </c>
    </row>
    <row r="10" spans="1:20" s="201" customFormat="1" ht="15" customHeight="1">
      <c r="A10" s="318" t="s">
        <v>24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20"/>
    </row>
    <row r="11" spans="1:20" s="201" customFormat="1" ht="15">
      <c r="A11" s="202" t="s">
        <v>328</v>
      </c>
      <c r="B11" s="203"/>
      <c r="C11" s="229"/>
      <c r="D11" s="229"/>
      <c r="E11" s="229"/>
      <c r="F11" s="229"/>
      <c r="G11" s="229"/>
      <c r="H11" s="229"/>
      <c r="I11" s="230"/>
      <c r="J11" s="230"/>
      <c r="K11" s="230"/>
      <c r="L11" s="231"/>
      <c r="M11" s="232"/>
      <c r="N11" s="253"/>
      <c r="O11" s="233"/>
      <c r="P11" s="233"/>
      <c r="Q11" s="230"/>
      <c r="R11" s="230"/>
      <c r="S11" s="229"/>
      <c r="T11" s="229"/>
    </row>
    <row r="12" spans="1:21" s="201" customFormat="1" ht="26.25" customHeight="1">
      <c r="A12" s="178">
        <v>1</v>
      </c>
      <c r="B12" s="177" t="s">
        <v>344</v>
      </c>
      <c r="C12" s="178">
        <v>1991</v>
      </c>
      <c r="D12" s="223"/>
      <c r="E12" s="186" t="s">
        <v>183</v>
      </c>
      <c r="F12" s="179">
        <v>9</v>
      </c>
      <c r="G12" s="180">
        <v>2</v>
      </c>
      <c r="H12" s="178">
        <v>2</v>
      </c>
      <c r="I12" s="178">
        <v>4954.1</v>
      </c>
      <c r="J12" s="227">
        <v>4014</v>
      </c>
      <c r="K12" s="222">
        <v>3450</v>
      </c>
      <c r="L12" s="216">
        <v>191</v>
      </c>
      <c r="M12" s="184">
        <f>N12+Q12+R12</f>
        <v>5271495.24</v>
      </c>
      <c r="N12" s="252">
        <v>4869704</v>
      </c>
      <c r="O12" s="184">
        <f>N12*0.7</f>
        <v>3408792.8</v>
      </c>
      <c r="P12" s="184">
        <f>N12*0.3</f>
        <v>1460911.2</v>
      </c>
      <c r="Q12" s="227">
        <v>141791.24</v>
      </c>
      <c r="R12" s="227">
        <v>260000</v>
      </c>
      <c r="S12" s="185">
        <v>44560</v>
      </c>
      <c r="T12" s="207" t="s">
        <v>184</v>
      </c>
      <c r="U12" s="258"/>
    </row>
    <row r="13" spans="1:21" s="201" customFormat="1" ht="15">
      <c r="A13" s="204" t="s">
        <v>23</v>
      </c>
      <c r="B13" s="205"/>
      <c r="C13" s="223" t="s">
        <v>261</v>
      </c>
      <c r="D13" s="207" t="s">
        <v>261</v>
      </c>
      <c r="E13" s="207" t="s">
        <v>261</v>
      </c>
      <c r="F13" s="207" t="s">
        <v>261</v>
      </c>
      <c r="G13" s="207" t="s">
        <v>261</v>
      </c>
      <c r="H13" s="223">
        <f>SUM(H12:H12)</f>
        <v>2</v>
      </c>
      <c r="I13" s="227">
        <f>SUM(I12:I12)</f>
        <v>4954.1</v>
      </c>
      <c r="J13" s="227">
        <f aca="true" t="shared" si="0" ref="J13:R13">SUM(J12:J12)</f>
        <v>4014</v>
      </c>
      <c r="K13" s="227">
        <f t="shared" si="0"/>
        <v>3450</v>
      </c>
      <c r="L13" s="186">
        <f t="shared" si="0"/>
        <v>191</v>
      </c>
      <c r="M13" s="227">
        <f t="shared" si="0"/>
        <v>5271495.24</v>
      </c>
      <c r="N13" s="251">
        <f t="shared" si="0"/>
        <v>4869704</v>
      </c>
      <c r="O13" s="227">
        <f t="shared" si="0"/>
        <v>3408792.8</v>
      </c>
      <c r="P13" s="227">
        <f t="shared" si="0"/>
        <v>1460911.2</v>
      </c>
      <c r="Q13" s="227">
        <f t="shared" si="0"/>
        <v>141791.24</v>
      </c>
      <c r="R13" s="227">
        <f t="shared" si="0"/>
        <v>260000</v>
      </c>
      <c r="S13" s="223" t="s">
        <v>261</v>
      </c>
      <c r="T13" s="223" t="s">
        <v>261</v>
      </c>
      <c r="U13" s="258"/>
    </row>
    <row r="14" spans="1:21" s="201" customFormat="1" ht="15">
      <c r="A14" s="202" t="s">
        <v>329</v>
      </c>
      <c r="B14" s="205"/>
      <c r="C14" s="229"/>
      <c r="D14" s="229"/>
      <c r="E14" s="229"/>
      <c r="F14" s="234"/>
      <c r="G14" s="229"/>
      <c r="H14" s="229"/>
      <c r="I14" s="230"/>
      <c r="J14" s="230"/>
      <c r="K14" s="230"/>
      <c r="L14" s="231"/>
      <c r="M14" s="230"/>
      <c r="N14" s="254"/>
      <c r="O14" s="230"/>
      <c r="P14" s="230"/>
      <c r="Q14" s="230"/>
      <c r="R14" s="230"/>
      <c r="S14" s="229"/>
      <c r="T14" s="229"/>
      <c r="U14" s="258"/>
    </row>
    <row r="15" spans="1:21" s="201" customFormat="1" ht="15">
      <c r="A15" s="180">
        <f>A12+1</f>
        <v>2</v>
      </c>
      <c r="B15" s="206" t="s">
        <v>346</v>
      </c>
      <c r="C15" s="180">
        <v>1992</v>
      </c>
      <c r="D15" s="207"/>
      <c r="E15" s="207" t="s">
        <v>183</v>
      </c>
      <c r="F15" s="179">
        <v>10</v>
      </c>
      <c r="G15" s="180">
        <v>3</v>
      </c>
      <c r="H15" s="179">
        <v>3</v>
      </c>
      <c r="I15" s="184">
        <v>7982.3</v>
      </c>
      <c r="J15" s="184">
        <v>6817.7</v>
      </c>
      <c r="K15" s="184">
        <v>6817.7</v>
      </c>
      <c r="L15" s="179">
        <v>286</v>
      </c>
      <c r="M15" s="184">
        <f>N15+Q15+R15</f>
        <v>7775389.38</v>
      </c>
      <c r="N15" s="252">
        <v>7554999</v>
      </c>
      <c r="O15" s="184">
        <f>N15*0.7</f>
        <v>5288499.3</v>
      </c>
      <c r="P15" s="184">
        <f>N15*0.3</f>
        <v>2266499.6999999997</v>
      </c>
      <c r="Q15" s="184">
        <v>220390.38</v>
      </c>
      <c r="R15" s="184"/>
      <c r="S15" s="185">
        <v>44560</v>
      </c>
      <c r="T15" s="207" t="s">
        <v>184</v>
      </c>
      <c r="U15" s="258"/>
    </row>
    <row r="16" spans="1:21" s="201" customFormat="1" ht="15">
      <c r="A16" s="180">
        <f>A15+1</f>
        <v>3</v>
      </c>
      <c r="B16" s="206" t="s">
        <v>379</v>
      </c>
      <c r="C16" s="180">
        <v>1993</v>
      </c>
      <c r="D16" s="207"/>
      <c r="E16" s="207" t="s">
        <v>183</v>
      </c>
      <c r="F16" s="179">
        <v>10</v>
      </c>
      <c r="G16" s="180">
        <v>3</v>
      </c>
      <c r="H16" s="179">
        <v>3</v>
      </c>
      <c r="I16" s="184">
        <v>7654</v>
      </c>
      <c r="J16" s="184">
        <v>6917.3</v>
      </c>
      <c r="K16" s="184">
        <v>6569.3</v>
      </c>
      <c r="L16" s="179">
        <v>169</v>
      </c>
      <c r="M16" s="184">
        <f>N16+Q16+R16</f>
        <v>8157685.86</v>
      </c>
      <c r="N16" s="252">
        <v>7554999</v>
      </c>
      <c r="O16" s="184">
        <f>N16*0.7</f>
        <v>5288499.3</v>
      </c>
      <c r="P16" s="184">
        <f>N16*0.3</f>
        <v>2266499.6999999997</v>
      </c>
      <c r="Q16" s="227">
        <v>212686.86</v>
      </c>
      <c r="R16" s="227">
        <v>390000</v>
      </c>
      <c r="S16" s="185">
        <v>44560</v>
      </c>
      <c r="T16" s="207" t="s">
        <v>184</v>
      </c>
      <c r="U16" s="258"/>
    </row>
    <row r="17" spans="1:21" ht="15" customHeight="1">
      <c r="A17" s="321" t="s">
        <v>23</v>
      </c>
      <c r="B17" s="322"/>
      <c r="C17" s="223" t="s">
        <v>261</v>
      </c>
      <c r="D17" s="207" t="s">
        <v>261</v>
      </c>
      <c r="E17" s="207" t="s">
        <v>261</v>
      </c>
      <c r="F17" s="207" t="s">
        <v>261</v>
      </c>
      <c r="G17" s="207" t="s">
        <v>261</v>
      </c>
      <c r="H17" s="179">
        <f>SUM(H15:H16)</f>
        <v>6</v>
      </c>
      <c r="I17" s="248">
        <f aca="true" t="shared" si="1" ref="I17:R17">SUM(I15:I16)</f>
        <v>15636.3</v>
      </c>
      <c r="J17" s="184">
        <f t="shared" si="1"/>
        <v>13735</v>
      </c>
      <c r="K17" s="184">
        <f t="shared" si="1"/>
        <v>13387</v>
      </c>
      <c r="L17" s="179">
        <f t="shared" si="1"/>
        <v>455</v>
      </c>
      <c r="M17" s="184">
        <f t="shared" si="1"/>
        <v>15933075.24</v>
      </c>
      <c r="N17" s="252">
        <f t="shared" si="1"/>
        <v>15109998</v>
      </c>
      <c r="O17" s="184">
        <f t="shared" si="1"/>
        <v>10576998.6</v>
      </c>
      <c r="P17" s="184">
        <f t="shared" si="1"/>
        <v>4532999.399999999</v>
      </c>
      <c r="Q17" s="184">
        <f t="shared" si="1"/>
        <v>433077.24</v>
      </c>
      <c r="R17" s="184">
        <f t="shared" si="1"/>
        <v>390000</v>
      </c>
      <c r="S17" s="207" t="s">
        <v>261</v>
      </c>
      <c r="T17" s="207" t="s">
        <v>261</v>
      </c>
      <c r="U17" s="258"/>
    </row>
    <row r="18" spans="1:21" ht="15" customHeight="1">
      <c r="A18" s="313" t="s">
        <v>25</v>
      </c>
      <c r="B18" s="314"/>
      <c r="C18" s="229" t="s">
        <v>261</v>
      </c>
      <c r="D18" s="236" t="s">
        <v>261</v>
      </c>
      <c r="E18" s="236" t="s">
        <v>261</v>
      </c>
      <c r="F18" s="236" t="s">
        <v>261</v>
      </c>
      <c r="G18" s="229" t="s">
        <v>261</v>
      </c>
      <c r="H18" s="190">
        <f>H13+H17</f>
        <v>8</v>
      </c>
      <c r="I18" s="189">
        <f aca="true" t="shared" si="2" ref="I18:R18">I13+I17</f>
        <v>20590.4</v>
      </c>
      <c r="J18" s="189">
        <f t="shared" si="2"/>
        <v>17749</v>
      </c>
      <c r="K18" s="189">
        <f t="shared" si="2"/>
        <v>16837</v>
      </c>
      <c r="L18" s="190">
        <f t="shared" si="2"/>
        <v>646</v>
      </c>
      <c r="M18" s="189">
        <f t="shared" si="2"/>
        <v>21204570.48</v>
      </c>
      <c r="N18" s="255">
        <f t="shared" si="2"/>
        <v>19979702</v>
      </c>
      <c r="O18" s="189">
        <f t="shared" si="2"/>
        <v>13985791.399999999</v>
      </c>
      <c r="P18" s="189">
        <f t="shared" si="2"/>
        <v>5993910.6</v>
      </c>
      <c r="Q18" s="189">
        <f t="shared" si="2"/>
        <v>574868.48</v>
      </c>
      <c r="R18" s="189">
        <f t="shared" si="2"/>
        <v>650000</v>
      </c>
      <c r="S18" s="236" t="s">
        <v>261</v>
      </c>
      <c r="T18" s="236" t="s">
        <v>261</v>
      </c>
      <c r="U18" s="258"/>
    </row>
    <row r="19" spans="1:21" ht="15" customHeight="1">
      <c r="A19" s="329" t="s">
        <v>336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1"/>
      <c r="U19" s="258"/>
    </row>
    <row r="20" spans="1:21" ht="15" customHeight="1">
      <c r="A20" s="202" t="s">
        <v>341</v>
      </c>
      <c r="B20" s="235"/>
      <c r="C20" s="223"/>
      <c r="D20" s="207"/>
      <c r="E20" s="207"/>
      <c r="F20" s="207"/>
      <c r="G20" s="223"/>
      <c r="H20" s="179"/>
      <c r="I20" s="189"/>
      <c r="J20" s="189"/>
      <c r="K20" s="189"/>
      <c r="L20" s="190"/>
      <c r="M20" s="189"/>
      <c r="N20" s="255"/>
      <c r="O20" s="189"/>
      <c r="P20" s="189"/>
      <c r="Q20" s="189"/>
      <c r="R20" s="189"/>
      <c r="S20" s="236"/>
      <c r="T20" s="236"/>
      <c r="U20" s="258"/>
    </row>
    <row r="21" spans="1:21" ht="15" customHeight="1">
      <c r="A21" s="180">
        <f>A16+1</f>
        <v>4</v>
      </c>
      <c r="B21" s="182" t="s">
        <v>347</v>
      </c>
      <c r="C21" s="208">
        <v>1989</v>
      </c>
      <c r="D21" s="209"/>
      <c r="E21" s="210" t="s">
        <v>380</v>
      </c>
      <c r="F21" s="209">
        <v>9</v>
      </c>
      <c r="G21" s="211">
        <v>2</v>
      </c>
      <c r="H21" s="209">
        <v>2</v>
      </c>
      <c r="I21" s="212">
        <v>4002.8</v>
      </c>
      <c r="J21" s="212">
        <v>3952.5</v>
      </c>
      <c r="K21" s="212">
        <v>3526.4</v>
      </c>
      <c r="L21" s="213">
        <v>173</v>
      </c>
      <c r="M21" s="184">
        <f>N21+Q21+R21</f>
        <v>4815667.96</v>
      </c>
      <c r="N21" s="259">
        <v>4685381.8</v>
      </c>
      <c r="O21" s="184">
        <f>N21*0.7</f>
        <v>3279767.26</v>
      </c>
      <c r="P21" s="184">
        <f>N21*0.3</f>
        <v>1405614.5399999998</v>
      </c>
      <c r="Q21" s="184">
        <v>130286.16</v>
      </c>
      <c r="R21" s="184"/>
      <c r="S21" s="185">
        <v>44560</v>
      </c>
      <c r="T21" s="219" t="s">
        <v>184</v>
      </c>
      <c r="U21" s="258"/>
    </row>
    <row r="22" spans="1:21" ht="15" customHeight="1">
      <c r="A22" s="180">
        <f>A21+1</f>
        <v>5</v>
      </c>
      <c r="B22" s="182" t="s">
        <v>349</v>
      </c>
      <c r="C22" s="208">
        <v>1940</v>
      </c>
      <c r="D22" s="214"/>
      <c r="E22" s="214" t="s">
        <v>185</v>
      </c>
      <c r="F22" s="209">
        <v>6</v>
      </c>
      <c r="G22" s="211">
        <v>1</v>
      </c>
      <c r="H22" s="209">
        <v>1</v>
      </c>
      <c r="I22" s="212">
        <v>3879.4</v>
      </c>
      <c r="J22" s="212">
        <v>2447.4</v>
      </c>
      <c r="K22" s="212">
        <v>2344.8</v>
      </c>
      <c r="L22" s="209">
        <v>89</v>
      </c>
      <c r="M22" s="184">
        <f>N22+Q22+R22</f>
        <v>2368053.8</v>
      </c>
      <c r="N22" s="259">
        <v>2184409</v>
      </c>
      <c r="O22" s="184">
        <f>N22*0.7</f>
        <v>1529086.2999999998</v>
      </c>
      <c r="P22" s="184">
        <f>N22*0.3</f>
        <v>655322.7</v>
      </c>
      <c r="Q22" s="184">
        <v>53644.8</v>
      </c>
      <c r="R22" s="184">
        <v>130000</v>
      </c>
      <c r="S22" s="185">
        <v>44560</v>
      </c>
      <c r="T22" s="219" t="s">
        <v>184</v>
      </c>
      <c r="U22" s="258"/>
    </row>
    <row r="23" spans="1:21" ht="15" customHeight="1">
      <c r="A23" s="180">
        <f>A22+1</f>
        <v>6</v>
      </c>
      <c r="B23" s="182" t="s">
        <v>348</v>
      </c>
      <c r="C23" s="208">
        <v>1990</v>
      </c>
      <c r="D23" s="209"/>
      <c r="E23" s="210" t="s">
        <v>185</v>
      </c>
      <c r="F23" s="209" t="s">
        <v>378</v>
      </c>
      <c r="G23" s="211">
        <v>2</v>
      </c>
      <c r="H23" s="209">
        <v>2</v>
      </c>
      <c r="I23" s="212">
        <v>4112.1</v>
      </c>
      <c r="J23" s="212">
        <v>4057.4</v>
      </c>
      <c r="K23" s="212">
        <v>3690.2</v>
      </c>
      <c r="L23" s="213">
        <v>155</v>
      </c>
      <c r="M23" s="184">
        <f>N23+Q23+R23</f>
        <v>5085316.86</v>
      </c>
      <c r="N23" s="259">
        <v>4702742</v>
      </c>
      <c r="O23" s="184">
        <f>N23*0.7</f>
        <v>3291919.4</v>
      </c>
      <c r="P23" s="184">
        <f>N23*0.3</f>
        <v>1410822.5999999999</v>
      </c>
      <c r="Q23" s="184">
        <f>57466.1+65108.76</f>
        <v>122574.86</v>
      </c>
      <c r="R23" s="184">
        <v>260000</v>
      </c>
      <c r="S23" s="185">
        <v>44560</v>
      </c>
      <c r="T23" s="219" t="s">
        <v>184</v>
      </c>
      <c r="U23" s="258"/>
    </row>
    <row r="24" spans="1:21" ht="15" customHeight="1">
      <c r="A24" s="321" t="s">
        <v>23</v>
      </c>
      <c r="B24" s="322"/>
      <c r="C24" s="223" t="s">
        <v>261</v>
      </c>
      <c r="D24" s="207" t="s">
        <v>261</v>
      </c>
      <c r="E24" s="207" t="s">
        <v>261</v>
      </c>
      <c r="F24" s="207" t="s">
        <v>261</v>
      </c>
      <c r="G24" s="207" t="s">
        <v>261</v>
      </c>
      <c r="H24" s="179">
        <f>SUM(H21:H23)</f>
        <v>5</v>
      </c>
      <c r="I24" s="184">
        <f aca="true" t="shared" si="3" ref="I24:R24">SUM(I21:I23)</f>
        <v>11994.300000000001</v>
      </c>
      <c r="J24" s="184">
        <f t="shared" si="3"/>
        <v>10457.3</v>
      </c>
      <c r="K24" s="184">
        <f t="shared" si="3"/>
        <v>9561.400000000001</v>
      </c>
      <c r="L24" s="179">
        <f t="shared" si="3"/>
        <v>417</v>
      </c>
      <c r="M24" s="184">
        <f t="shared" si="3"/>
        <v>12269038.620000001</v>
      </c>
      <c r="N24" s="252">
        <f t="shared" si="3"/>
        <v>11572532.8</v>
      </c>
      <c r="O24" s="184">
        <f t="shared" si="3"/>
        <v>8100772.959999999</v>
      </c>
      <c r="P24" s="184">
        <f t="shared" si="3"/>
        <v>3471759.84</v>
      </c>
      <c r="Q24" s="184">
        <f t="shared" si="3"/>
        <v>306505.82</v>
      </c>
      <c r="R24" s="184">
        <f t="shared" si="3"/>
        <v>390000</v>
      </c>
      <c r="S24" s="207" t="s">
        <v>261</v>
      </c>
      <c r="T24" s="207" t="s">
        <v>261</v>
      </c>
      <c r="U24" s="258"/>
    </row>
    <row r="25" spans="1:21" ht="15" customHeight="1">
      <c r="A25" s="181" t="s">
        <v>350</v>
      </c>
      <c r="B25" s="226"/>
      <c r="C25" s="223"/>
      <c r="D25" s="207"/>
      <c r="E25" s="207"/>
      <c r="F25" s="207"/>
      <c r="G25" s="207"/>
      <c r="H25" s="179"/>
      <c r="I25" s="179"/>
      <c r="J25" s="179"/>
      <c r="K25" s="179"/>
      <c r="L25" s="179"/>
      <c r="M25" s="237"/>
      <c r="N25" s="256"/>
      <c r="O25" s="184"/>
      <c r="P25" s="184"/>
      <c r="Q25" s="238"/>
      <c r="R25" s="184"/>
      <c r="S25" s="207"/>
      <c r="T25" s="207"/>
      <c r="U25" s="258"/>
    </row>
    <row r="26" spans="1:21" ht="15" customHeight="1">
      <c r="A26" s="180">
        <f>A23+1</f>
        <v>7</v>
      </c>
      <c r="B26" s="215" t="s">
        <v>351</v>
      </c>
      <c r="C26" s="208">
        <v>1985</v>
      </c>
      <c r="D26" s="216"/>
      <c r="E26" s="210" t="s">
        <v>185</v>
      </c>
      <c r="F26" s="209">
        <v>9</v>
      </c>
      <c r="G26" s="211">
        <v>1</v>
      </c>
      <c r="H26" s="209">
        <v>1</v>
      </c>
      <c r="I26" s="217">
        <v>2142.57</v>
      </c>
      <c r="J26" s="217">
        <v>562.4</v>
      </c>
      <c r="K26" s="217">
        <v>562.4</v>
      </c>
      <c r="L26" s="209">
        <v>71</v>
      </c>
      <c r="M26" s="184">
        <f>N26+Q26+R26</f>
        <v>2635747.62</v>
      </c>
      <c r="N26" s="259">
        <v>2434852</v>
      </c>
      <c r="O26" s="184">
        <f>N26*0.7</f>
        <v>1704396.4</v>
      </c>
      <c r="P26" s="184">
        <f>N26*0.3</f>
        <v>730455.6</v>
      </c>
      <c r="Q26" s="238">
        <v>70895.62</v>
      </c>
      <c r="R26" s="184">
        <v>130000</v>
      </c>
      <c r="S26" s="185">
        <v>44560</v>
      </c>
      <c r="T26" s="219" t="s">
        <v>184</v>
      </c>
      <c r="U26" s="258"/>
    </row>
    <row r="27" spans="1:21" ht="15" customHeight="1">
      <c r="A27" s="180">
        <f>A26+1</f>
        <v>8</v>
      </c>
      <c r="B27" s="215" t="s">
        <v>352</v>
      </c>
      <c r="C27" s="208">
        <v>1980</v>
      </c>
      <c r="D27" s="216"/>
      <c r="E27" s="210" t="s">
        <v>185</v>
      </c>
      <c r="F27" s="209">
        <v>9</v>
      </c>
      <c r="G27" s="211">
        <v>1</v>
      </c>
      <c r="H27" s="209">
        <v>1</v>
      </c>
      <c r="I27" s="218">
        <v>3956.9</v>
      </c>
      <c r="J27" s="217">
        <v>3594.5</v>
      </c>
      <c r="K27" s="218">
        <v>954.8</v>
      </c>
      <c r="L27" s="209">
        <v>127</v>
      </c>
      <c r="M27" s="184">
        <f>N27+Q27+R27</f>
        <v>2635747.62</v>
      </c>
      <c r="N27" s="259">
        <v>2434852</v>
      </c>
      <c r="O27" s="184">
        <f>N27*0.7</f>
        <v>1704396.4</v>
      </c>
      <c r="P27" s="184">
        <f>N27*0.3</f>
        <v>730455.6</v>
      </c>
      <c r="Q27" s="238">
        <v>70895.62</v>
      </c>
      <c r="R27" s="184">
        <v>130000</v>
      </c>
      <c r="S27" s="185">
        <v>44560</v>
      </c>
      <c r="T27" s="219" t="s">
        <v>184</v>
      </c>
      <c r="U27" s="258"/>
    </row>
    <row r="28" spans="1:21" ht="15" customHeight="1">
      <c r="A28" s="180">
        <f>A27+1</f>
        <v>9</v>
      </c>
      <c r="B28" s="215" t="s">
        <v>353</v>
      </c>
      <c r="C28" s="208">
        <v>1980</v>
      </c>
      <c r="D28" s="216"/>
      <c r="E28" s="210" t="s">
        <v>185</v>
      </c>
      <c r="F28" s="209">
        <v>9</v>
      </c>
      <c r="G28" s="211">
        <v>1</v>
      </c>
      <c r="H28" s="209">
        <v>1</v>
      </c>
      <c r="I28" s="218">
        <v>3987.5</v>
      </c>
      <c r="J28" s="217">
        <v>993.5</v>
      </c>
      <c r="K28" s="217">
        <v>993.5</v>
      </c>
      <c r="L28" s="209">
        <v>113</v>
      </c>
      <c r="M28" s="184">
        <f>N28+Q28+R28</f>
        <v>2635747.62</v>
      </c>
      <c r="N28" s="259">
        <v>2434852</v>
      </c>
      <c r="O28" s="184">
        <f>N28*0.7</f>
        <v>1704396.4</v>
      </c>
      <c r="P28" s="184">
        <f>N28*0.3</f>
        <v>730455.6</v>
      </c>
      <c r="Q28" s="238">
        <v>70895.62</v>
      </c>
      <c r="R28" s="184">
        <v>130000</v>
      </c>
      <c r="S28" s="185">
        <v>44560</v>
      </c>
      <c r="T28" s="219" t="s">
        <v>184</v>
      </c>
      <c r="U28" s="258"/>
    </row>
    <row r="29" spans="1:21" ht="15" customHeight="1">
      <c r="A29" s="192" t="s">
        <v>23</v>
      </c>
      <c r="B29" s="226"/>
      <c r="C29" s="223"/>
      <c r="D29" s="207"/>
      <c r="E29" s="207"/>
      <c r="F29" s="207"/>
      <c r="G29" s="207"/>
      <c r="H29" s="179">
        <f>H26+H27+H28</f>
        <v>3</v>
      </c>
      <c r="I29" s="184">
        <f aca="true" t="shared" si="4" ref="I29:R29">I26+I27+I28</f>
        <v>10086.970000000001</v>
      </c>
      <c r="J29" s="184">
        <f t="shared" si="4"/>
        <v>5150.4</v>
      </c>
      <c r="K29" s="184">
        <f t="shared" si="4"/>
        <v>2510.7</v>
      </c>
      <c r="L29" s="179">
        <f t="shared" si="4"/>
        <v>311</v>
      </c>
      <c r="M29" s="184">
        <f t="shared" si="4"/>
        <v>7907242.86</v>
      </c>
      <c r="N29" s="252">
        <f t="shared" si="4"/>
        <v>7304556</v>
      </c>
      <c r="O29" s="184">
        <f t="shared" si="4"/>
        <v>5113189.199999999</v>
      </c>
      <c r="P29" s="184">
        <f t="shared" si="4"/>
        <v>2191366.8</v>
      </c>
      <c r="Q29" s="184">
        <f t="shared" si="4"/>
        <v>212686.86</v>
      </c>
      <c r="R29" s="184">
        <f t="shared" si="4"/>
        <v>390000</v>
      </c>
      <c r="S29" s="207" t="s">
        <v>261</v>
      </c>
      <c r="T29" s="207" t="s">
        <v>261</v>
      </c>
      <c r="U29" s="258"/>
    </row>
    <row r="30" spans="1:21" ht="15" customHeight="1">
      <c r="A30" s="313" t="s">
        <v>27</v>
      </c>
      <c r="B30" s="314"/>
      <c r="C30" s="229" t="s">
        <v>261</v>
      </c>
      <c r="D30" s="236" t="s">
        <v>261</v>
      </c>
      <c r="E30" s="236" t="s">
        <v>261</v>
      </c>
      <c r="F30" s="236" t="s">
        <v>261</v>
      </c>
      <c r="G30" s="229" t="s">
        <v>261</v>
      </c>
      <c r="H30" s="190">
        <f>H24+H29</f>
        <v>8</v>
      </c>
      <c r="I30" s="189">
        <f aca="true" t="shared" si="5" ref="I30:R30">I24+I29</f>
        <v>22081.270000000004</v>
      </c>
      <c r="J30" s="189">
        <f t="shared" si="5"/>
        <v>15607.699999999999</v>
      </c>
      <c r="K30" s="189">
        <f t="shared" si="5"/>
        <v>12072.100000000002</v>
      </c>
      <c r="L30" s="190">
        <f t="shared" si="5"/>
        <v>728</v>
      </c>
      <c r="M30" s="189">
        <f t="shared" si="5"/>
        <v>20176281.48</v>
      </c>
      <c r="N30" s="255">
        <f t="shared" si="5"/>
        <v>18877088.8</v>
      </c>
      <c r="O30" s="189">
        <f t="shared" si="5"/>
        <v>13213962.159999998</v>
      </c>
      <c r="P30" s="189">
        <f t="shared" si="5"/>
        <v>5663126.64</v>
      </c>
      <c r="Q30" s="189">
        <f t="shared" si="5"/>
        <v>519192.68</v>
      </c>
      <c r="R30" s="189">
        <f t="shared" si="5"/>
        <v>780000</v>
      </c>
      <c r="S30" s="236" t="s">
        <v>261</v>
      </c>
      <c r="T30" s="236" t="s">
        <v>261</v>
      </c>
      <c r="U30" s="258"/>
    </row>
    <row r="31" spans="1:21" ht="15" customHeight="1">
      <c r="A31" s="329" t="s">
        <v>337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1"/>
      <c r="U31" s="258"/>
    </row>
    <row r="32" spans="1:21" ht="15" customHeight="1">
      <c r="A32" s="202" t="s">
        <v>340</v>
      </c>
      <c r="B32" s="235"/>
      <c r="C32" s="223"/>
      <c r="D32" s="207"/>
      <c r="E32" s="207"/>
      <c r="F32" s="207"/>
      <c r="G32" s="223"/>
      <c r="H32" s="179"/>
      <c r="I32" s="189"/>
      <c r="J32" s="189"/>
      <c r="K32" s="189"/>
      <c r="L32" s="190"/>
      <c r="M32" s="237"/>
      <c r="N32" s="256"/>
      <c r="O32" s="189"/>
      <c r="P32" s="189"/>
      <c r="Q32" s="239"/>
      <c r="R32" s="189"/>
      <c r="S32" s="236"/>
      <c r="T32" s="236"/>
      <c r="U32" s="258"/>
    </row>
    <row r="33" spans="1:21" ht="15" customHeight="1">
      <c r="A33" s="180">
        <f>A28+1</f>
        <v>10</v>
      </c>
      <c r="B33" s="182" t="s">
        <v>354</v>
      </c>
      <c r="C33" s="183" t="s">
        <v>342</v>
      </c>
      <c r="D33" s="179"/>
      <c r="E33" s="179" t="s">
        <v>185</v>
      </c>
      <c r="F33" s="179">
        <v>6</v>
      </c>
      <c r="G33" s="180">
        <v>6</v>
      </c>
      <c r="H33" s="179">
        <v>6</v>
      </c>
      <c r="I33" s="184">
        <v>8643</v>
      </c>
      <c r="J33" s="184">
        <f>4529.2+1031.7</f>
        <v>5560.9</v>
      </c>
      <c r="K33" s="184">
        <v>2879</v>
      </c>
      <c r="L33" s="179">
        <v>223</v>
      </c>
      <c r="M33" s="184">
        <f aca="true" t="shared" si="6" ref="M33:M39">N33+Q33+R33</f>
        <v>14236930.26</v>
      </c>
      <c r="N33" s="259">
        <v>13106454</v>
      </c>
      <c r="O33" s="184">
        <f aca="true" t="shared" si="7" ref="O33:O39">N33*0.7</f>
        <v>9174517.799999999</v>
      </c>
      <c r="P33" s="184">
        <f aca="true" t="shared" si="8" ref="P33:P39">N33*0.3</f>
        <v>3931936.1999999997</v>
      </c>
      <c r="Q33" s="238">
        <v>350476.26</v>
      </c>
      <c r="R33" s="184">
        <v>780000</v>
      </c>
      <c r="S33" s="185">
        <v>44560</v>
      </c>
      <c r="T33" s="219" t="s">
        <v>184</v>
      </c>
      <c r="U33" s="258"/>
    </row>
    <row r="34" spans="1:21" ht="15" customHeight="1">
      <c r="A34" s="180">
        <f aca="true" t="shared" si="9" ref="A34:A39">A33+1</f>
        <v>11</v>
      </c>
      <c r="B34" s="182" t="s">
        <v>355</v>
      </c>
      <c r="C34" s="183">
        <v>1990</v>
      </c>
      <c r="D34" s="179"/>
      <c r="E34" s="179" t="s">
        <v>185</v>
      </c>
      <c r="F34" s="179">
        <v>6</v>
      </c>
      <c r="G34" s="180">
        <v>6</v>
      </c>
      <c r="H34" s="179">
        <v>6</v>
      </c>
      <c r="I34" s="184">
        <v>8643</v>
      </c>
      <c r="J34" s="184">
        <f>4946.8+1023.6</f>
        <v>5970.400000000001</v>
      </c>
      <c r="K34" s="184">
        <v>2879</v>
      </c>
      <c r="L34" s="179">
        <v>223</v>
      </c>
      <c r="M34" s="184">
        <f t="shared" si="6"/>
        <v>13281684.88</v>
      </c>
      <c r="N34" s="259">
        <v>12947077</v>
      </c>
      <c r="O34" s="184">
        <f t="shared" si="7"/>
        <v>9062953.899999999</v>
      </c>
      <c r="P34" s="184">
        <f t="shared" si="8"/>
        <v>3884123.0999999996</v>
      </c>
      <c r="Q34" s="238">
        <v>334607.88</v>
      </c>
      <c r="R34" s="184"/>
      <c r="S34" s="185">
        <v>44560</v>
      </c>
      <c r="T34" s="219" t="s">
        <v>184</v>
      </c>
      <c r="U34" s="258"/>
    </row>
    <row r="35" spans="1:21" ht="15" customHeight="1">
      <c r="A35" s="180">
        <f t="shared" si="9"/>
        <v>12</v>
      </c>
      <c r="B35" s="182" t="s">
        <v>356</v>
      </c>
      <c r="C35" s="183">
        <v>1988</v>
      </c>
      <c r="D35" s="179"/>
      <c r="E35" s="179" t="s">
        <v>185</v>
      </c>
      <c r="F35" s="179">
        <v>6</v>
      </c>
      <c r="G35" s="180">
        <v>3</v>
      </c>
      <c r="H35" s="179">
        <v>3</v>
      </c>
      <c r="I35" s="184">
        <v>15055</v>
      </c>
      <c r="J35" s="184">
        <f>5935.7+2520.6</f>
        <v>8456.3</v>
      </c>
      <c r="K35" s="184">
        <v>5522.3</v>
      </c>
      <c r="L35" s="179">
        <v>221</v>
      </c>
      <c r="M35" s="184">
        <f t="shared" si="6"/>
        <v>6649644.94</v>
      </c>
      <c r="N35" s="259">
        <v>6482341</v>
      </c>
      <c r="O35" s="184">
        <f t="shared" si="7"/>
        <v>4537638.699999999</v>
      </c>
      <c r="P35" s="184">
        <f t="shared" si="8"/>
        <v>1944702.2999999998</v>
      </c>
      <c r="Q35" s="238">
        <v>167303.94</v>
      </c>
      <c r="R35" s="184"/>
      <c r="S35" s="185">
        <v>44560</v>
      </c>
      <c r="T35" s="219" t="s">
        <v>184</v>
      </c>
      <c r="U35" s="258"/>
    </row>
    <row r="36" spans="1:21" ht="15" customHeight="1">
      <c r="A36" s="180">
        <f t="shared" si="9"/>
        <v>13</v>
      </c>
      <c r="B36" s="182" t="s">
        <v>357</v>
      </c>
      <c r="C36" s="183">
        <v>1988</v>
      </c>
      <c r="D36" s="179"/>
      <c r="E36" s="186" t="s">
        <v>183</v>
      </c>
      <c r="F36" s="179">
        <v>9</v>
      </c>
      <c r="G36" s="180">
        <v>2</v>
      </c>
      <c r="H36" s="179">
        <v>2</v>
      </c>
      <c r="I36" s="184">
        <v>5884.4</v>
      </c>
      <c r="J36" s="184">
        <v>4129.27</v>
      </c>
      <c r="K36" s="184">
        <v>3488.1</v>
      </c>
      <c r="L36" s="179">
        <v>200</v>
      </c>
      <c r="M36" s="184">
        <f t="shared" si="6"/>
        <v>4736471.6</v>
      </c>
      <c r="N36" s="259">
        <v>4614400.6</v>
      </c>
      <c r="O36" s="184">
        <f t="shared" si="7"/>
        <v>3230080.4199999995</v>
      </c>
      <c r="P36" s="184">
        <f t="shared" si="8"/>
        <v>1384320.18</v>
      </c>
      <c r="Q36" s="238">
        <v>122071</v>
      </c>
      <c r="R36" s="184"/>
      <c r="S36" s="185">
        <v>44560</v>
      </c>
      <c r="T36" s="219" t="s">
        <v>184</v>
      </c>
      <c r="U36" s="258"/>
    </row>
    <row r="37" spans="1:21" ht="15" customHeight="1">
      <c r="A37" s="180">
        <f t="shared" si="9"/>
        <v>14</v>
      </c>
      <c r="B37" s="182" t="s">
        <v>358</v>
      </c>
      <c r="C37" s="183">
        <v>1990</v>
      </c>
      <c r="D37" s="179"/>
      <c r="E37" s="186" t="s">
        <v>183</v>
      </c>
      <c r="F37" s="179">
        <v>9</v>
      </c>
      <c r="G37" s="180">
        <v>4</v>
      </c>
      <c r="H37" s="179">
        <v>4</v>
      </c>
      <c r="I37" s="184">
        <v>12490.5</v>
      </c>
      <c r="J37" s="184">
        <v>8103.71</v>
      </c>
      <c r="K37" s="184">
        <v>7355.2</v>
      </c>
      <c r="L37" s="179">
        <v>387</v>
      </c>
      <c r="M37" s="184">
        <f t="shared" si="6"/>
        <v>9595660.64</v>
      </c>
      <c r="N37" s="259">
        <f>2263029.6+2336035.2+2351371*2</f>
        <v>9301806.8</v>
      </c>
      <c r="O37" s="184">
        <f t="shared" si="7"/>
        <v>6511264.76</v>
      </c>
      <c r="P37" s="184">
        <f t="shared" si="8"/>
        <v>2790542.04</v>
      </c>
      <c r="Q37" s="238">
        <v>293853.84</v>
      </c>
      <c r="R37" s="184"/>
      <c r="S37" s="185">
        <v>44560</v>
      </c>
      <c r="T37" s="219" t="s">
        <v>184</v>
      </c>
      <c r="U37" s="258"/>
    </row>
    <row r="38" spans="1:21" ht="15" customHeight="1">
      <c r="A38" s="180">
        <f t="shared" si="9"/>
        <v>15</v>
      </c>
      <c r="B38" s="182" t="s">
        <v>359</v>
      </c>
      <c r="C38" s="183">
        <v>1990</v>
      </c>
      <c r="D38" s="179"/>
      <c r="E38" s="179" t="s">
        <v>185</v>
      </c>
      <c r="F38" s="179">
        <v>7</v>
      </c>
      <c r="G38" s="180">
        <v>1</v>
      </c>
      <c r="H38" s="179">
        <v>1</v>
      </c>
      <c r="I38" s="184">
        <v>2965</v>
      </c>
      <c r="J38" s="184">
        <f>1535.75+289.2</f>
        <v>1824.95</v>
      </c>
      <c r="K38" s="184">
        <v>1501.4</v>
      </c>
      <c r="L38" s="179">
        <v>80</v>
      </c>
      <c r="M38" s="184">
        <f t="shared" si="6"/>
        <v>2406821.9</v>
      </c>
      <c r="N38" s="259">
        <v>2345786.4</v>
      </c>
      <c r="O38" s="184">
        <f t="shared" si="7"/>
        <v>1642050.4799999997</v>
      </c>
      <c r="P38" s="184">
        <f t="shared" si="8"/>
        <v>703735.9199999999</v>
      </c>
      <c r="Q38" s="238">
        <v>61035.5</v>
      </c>
      <c r="R38" s="184"/>
      <c r="S38" s="185">
        <v>44560</v>
      </c>
      <c r="T38" s="219" t="s">
        <v>184</v>
      </c>
      <c r="U38" s="258"/>
    </row>
    <row r="39" spans="1:21" ht="15" customHeight="1">
      <c r="A39" s="180">
        <f t="shared" si="9"/>
        <v>16</v>
      </c>
      <c r="B39" s="182" t="s">
        <v>360</v>
      </c>
      <c r="C39" s="183">
        <v>1989</v>
      </c>
      <c r="D39" s="179"/>
      <c r="E39" s="179" t="s">
        <v>185</v>
      </c>
      <c r="F39" s="179">
        <v>9</v>
      </c>
      <c r="G39" s="180">
        <v>2</v>
      </c>
      <c r="H39" s="179">
        <v>2</v>
      </c>
      <c r="I39" s="184">
        <v>7847.3</v>
      </c>
      <c r="J39" s="184">
        <f>3560.65+536.7</f>
        <v>4097.35</v>
      </c>
      <c r="K39" s="184">
        <v>3232.7</v>
      </c>
      <c r="L39" s="179">
        <v>160</v>
      </c>
      <c r="M39" s="184">
        <f t="shared" si="6"/>
        <v>4984582.2</v>
      </c>
      <c r="N39" s="260">
        <v>4862511.2</v>
      </c>
      <c r="O39" s="184">
        <f t="shared" si="7"/>
        <v>3403757.84</v>
      </c>
      <c r="P39" s="184">
        <f t="shared" si="8"/>
        <v>1458753.36</v>
      </c>
      <c r="Q39" s="184">
        <v>122071</v>
      </c>
      <c r="R39" s="184"/>
      <c r="S39" s="185">
        <v>44560</v>
      </c>
      <c r="T39" s="219" t="s">
        <v>184</v>
      </c>
      <c r="U39" s="258"/>
    </row>
    <row r="40" spans="1:21" ht="15" customHeight="1">
      <c r="A40" s="321" t="s">
        <v>23</v>
      </c>
      <c r="B40" s="322"/>
      <c r="C40" s="223" t="s">
        <v>261</v>
      </c>
      <c r="D40" s="207" t="s">
        <v>261</v>
      </c>
      <c r="E40" s="207" t="s">
        <v>261</v>
      </c>
      <c r="F40" s="207" t="s">
        <v>261</v>
      </c>
      <c r="G40" s="207" t="s">
        <v>261</v>
      </c>
      <c r="H40" s="179">
        <f>SUM(H33:H39)</f>
        <v>24</v>
      </c>
      <c r="I40" s="184">
        <f aca="true" t="shared" si="10" ref="I40:R40">SUM(I33:I39)</f>
        <v>61528.200000000004</v>
      </c>
      <c r="J40" s="184">
        <f t="shared" si="10"/>
        <v>38142.88</v>
      </c>
      <c r="K40" s="184">
        <f t="shared" si="10"/>
        <v>26857.7</v>
      </c>
      <c r="L40" s="179">
        <f t="shared" si="10"/>
        <v>1494</v>
      </c>
      <c r="M40" s="248">
        <f t="shared" si="10"/>
        <v>55891796.42</v>
      </c>
      <c r="N40" s="252">
        <f t="shared" si="10"/>
        <v>53660377.00000001</v>
      </c>
      <c r="O40" s="184">
        <f t="shared" si="10"/>
        <v>37562263.89999999</v>
      </c>
      <c r="P40" s="184">
        <f t="shared" si="10"/>
        <v>16098113.099999996</v>
      </c>
      <c r="Q40" s="184">
        <f t="shared" si="10"/>
        <v>1451419.4200000002</v>
      </c>
      <c r="R40" s="184">
        <f t="shared" si="10"/>
        <v>780000</v>
      </c>
      <c r="S40" s="207" t="s">
        <v>261</v>
      </c>
      <c r="T40" s="207" t="s">
        <v>261</v>
      </c>
      <c r="U40" s="258"/>
    </row>
    <row r="41" spans="1:21" ht="15" customHeight="1">
      <c r="A41" s="313" t="s">
        <v>338</v>
      </c>
      <c r="B41" s="314"/>
      <c r="C41" s="229" t="s">
        <v>261</v>
      </c>
      <c r="D41" s="236" t="s">
        <v>261</v>
      </c>
      <c r="E41" s="236" t="s">
        <v>261</v>
      </c>
      <c r="F41" s="236" t="s">
        <v>261</v>
      </c>
      <c r="G41" s="229" t="s">
        <v>261</v>
      </c>
      <c r="H41" s="190">
        <f aca="true" t="shared" si="11" ref="H41:R41">H40</f>
        <v>24</v>
      </c>
      <c r="I41" s="189">
        <f t="shared" si="11"/>
        <v>61528.200000000004</v>
      </c>
      <c r="J41" s="189">
        <f t="shared" si="11"/>
        <v>38142.88</v>
      </c>
      <c r="K41" s="189">
        <f t="shared" si="11"/>
        <v>26857.7</v>
      </c>
      <c r="L41" s="190">
        <f t="shared" si="11"/>
        <v>1494</v>
      </c>
      <c r="M41" s="187">
        <f t="shared" si="11"/>
        <v>55891796.42</v>
      </c>
      <c r="N41" s="187">
        <f t="shared" si="11"/>
        <v>53660377.00000001</v>
      </c>
      <c r="O41" s="189">
        <f t="shared" si="11"/>
        <v>37562263.89999999</v>
      </c>
      <c r="P41" s="189">
        <f t="shared" si="11"/>
        <v>16098113.099999996</v>
      </c>
      <c r="Q41" s="239">
        <f t="shared" si="11"/>
        <v>1451419.4200000002</v>
      </c>
      <c r="R41" s="189">
        <f t="shared" si="11"/>
        <v>780000</v>
      </c>
      <c r="S41" s="236" t="s">
        <v>261</v>
      </c>
      <c r="T41" s="236" t="s">
        <v>261</v>
      </c>
      <c r="U41" s="258"/>
    </row>
    <row r="42" spans="1:21" ht="15" customHeight="1">
      <c r="A42" s="345" t="s">
        <v>273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188"/>
      <c r="Q42" s="188"/>
      <c r="R42" s="188"/>
      <c r="S42" s="240"/>
      <c r="T42" s="241"/>
      <c r="U42" s="258"/>
    </row>
    <row r="43" spans="1:21" ht="15" customHeight="1">
      <c r="A43" s="338" t="s">
        <v>274</v>
      </c>
      <c r="B43" s="339"/>
      <c r="C43" s="189"/>
      <c r="D43" s="189"/>
      <c r="E43" s="189"/>
      <c r="F43" s="190"/>
      <c r="G43" s="191"/>
      <c r="H43" s="190"/>
      <c r="I43" s="189"/>
      <c r="J43" s="189"/>
      <c r="K43" s="189"/>
      <c r="L43" s="190"/>
      <c r="M43" s="184"/>
      <c r="N43" s="255"/>
      <c r="O43" s="189"/>
      <c r="P43" s="189"/>
      <c r="Q43" s="189"/>
      <c r="R43" s="189"/>
      <c r="S43" s="236"/>
      <c r="T43" s="236"/>
      <c r="U43" s="258"/>
    </row>
    <row r="44" spans="1:21" ht="15" customHeight="1">
      <c r="A44" s="180">
        <f>A39+1</f>
        <v>17</v>
      </c>
      <c r="B44" s="220" t="s">
        <v>361</v>
      </c>
      <c r="C44" s="219">
        <v>1974</v>
      </c>
      <c r="D44" s="221"/>
      <c r="E44" s="184" t="s">
        <v>185</v>
      </c>
      <c r="F44" s="179">
        <v>9</v>
      </c>
      <c r="G44" s="180">
        <v>1</v>
      </c>
      <c r="H44" s="179">
        <v>1</v>
      </c>
      <c r="I44" s="184">
        <v>3863.11</v>
      </c>
      <c r="J44" s="247">
        <v>3334.5</v>
      </c>
      <c r="K44" s="247">
        <v>3039.33</v>
      </c>
      <c r="L44" s="179">
        <v>147</v>
      </c>
      <c r="M44" s="184">
        <f aca="true" t="shared" si="12" ref="M44:M54">N44+Q44+R44</f>
        <v>2629960.76</v>
      </c>
      <c r="N44" s="252">
        <v>2434852</v>
      </c>
      <c r="O44" s="184">
        <f aca="true" t="shared" si="13" ref="O44:O54">N44*0.7</f>
        <v>1704396.4</v>
      </c>
      <c r="P44" s="184">
        <f aca="true" t="shared" si="14" ref="P44:P54">N44*0.3</f>
        <v>730455.6</v>
      </c>
      <c r="Q44" s="184">
        <v>65108.76</v>
      </c>
      <c r="R44" s="184">
        <v>130000</v>
      </c>
      <c r="S44" s="185">
        <v>44560</v>
      </c>
      <c r="T44" s="219" t="s">
        <v>184</v>
      </c>
      <c r="U44" s="258"/>
    </row>
    <row r="45" spans="1:21" ht="15" customHeight="1">
      <c r="A45" s="180">
        <f aca="true" t="shared" si="15" ref="A45:A54">A44+1</f>
        <v>18</v>
      </c>
      <c r="B45" s="220" t="s">
        <v>362</v>
      </c>
      <c r="C45" s="219">
        <v>1986</v>
      </c>
      <c r="D45" s="221"/>
      <c r="E45" s="184" t="s">
        <v>363</v>
      </c>
      <c r="F45" s="179">
        <v>9</v>
      </c>
      <c r="G45" s="180">
        <v>4</v>
      </c>
      <c r="H45" s="179">
        <v>4</v>
      </c>
      <c r="I45" s="184">
        <v>8025.7</v>
      </c>
      <c r="J45" s="247">
        <v>8019.3</v>
      </c>
      <c r="K45" s="247">
        <v>7762.7</v>
      </c>
      <c r="L45" s="179">
        <v>350</v>
      </c>
      <c r="M45" s="184">
        <f t="shared" si="12"/>
        <v>10170633.72</v>
      </c>
      <c r="N45" s="252">
        <v>9405484</v>
      </c>
      <c r="O45" s="184">
        <f t="shared" si="13"/>
        <v>6583838.8</v>
      </c>
      <c r="P45" s="184">
        <f t="shared" si="14"/>
        <v>2821645.1999999997</v>
      </c>
      <c r="Q45" s="184">
        <f>H45*61287.43</f>
        <v>245149.72</v>
      </c>
      <c r="R45" s="184">
        <v>520000</v>
      </c>
      <c r="S45" s="185">
        <v>44560</v>
      </c>
      <c r="T45" s="219" t="s">
        <v>184</v>
      </c>
      <c r="U45" s="258"/>
    </row>
    <row r="46" spans="1:21" ht="15" customHeight="1">
      <c r="A46" s="180">
        <f t="shared" si="15"/>
        <v>19</v>
      </c>
      <c r="B46" s="220" t="s">
        <v>364</v>
      </c>
      <c r="C46" s="219">
        <v>1987</v>
      </c>
      <c r="D46" s="221"/>
      <c r="E46" s="184" t="s">
        <v>363</v>
      </c>
      <c r="F46" s="179">
        <v>9</v>
      </c>
      <c r="G46" s="180">
        <v>2</v>
      </c>
      <c r="H46" s="179">
        <v>2</v>
      </c>
      <c r="I46" s="184">
        <v>4014.8</v>
      </c>
      <c r="J46" s="247">
        <v>4013.4</v>
      </c>
      <c r="K46" s="247">
        <v>3957.6</v>
      </c>
      <c r="L46" s="179">
        <v>172</v>
      </c>
      <c r="M46" s="184">
        <f t="shared" si="12"/>
        <v>5259921.52</v>
      </c>
      <c r="N46" s="252">
        <v>4869704</v>
      </c>
      <c r="O46" s="184">
        <f t="shared" si="13"/>
        <v>3408792.8</v>
      </c>
      <c r="P46" s="184">
        <f t="shared" si="14"/>
        <v>1460911.2</v>
      </c>
      <c r="Q46" s="184">
        <f>H46*65108.76</f>
        <v>130217.52</v>
      </c>
      <c r="R46" s="184">
        <v>260000</v>
      </c>
      <c r="S46" s="185">
        <v>44560</v>
      </c>
      <c r="T46" s="219" t="s">
        <v>184</v>
      </c>
      <c r="U46" s="258"/>
    </row>
    <row r="47" spans="1:21" ht="15" customHeight="1">
      <c r="A47" s="180">
        <f t="shared" si="15"/>
        <v>20</v>
      </c>
      <c r="B47" s="220" t="s">
        <v>365</v>
      </c>
      <c r="C47" s="219">
        <v>1987</v>
      </c>
      <c r="D47" s="221"/>
      <c r="E47" s="184" t="s">
        <v>363</v>
      </c>
      <c r="F47" s="179">
        <v>9</v>
      </c>
      <c r="G47" s="180">
        <v>6</v>
      </c>
      <c r="H47" s="179">
        <v>6</v>
      </c>
      <c r="I47" s="184">
        <v>12075</v>
      </c>
      <c r="J47" s="247">
        <f>12006.8+55.1</f>
        <v>12061.9</v>
      </c>
      <c r="K47" s="247">
        <v>11735.6</v>
      </c>
      <c r="L47" s="179">
        <v>541</v>
      </c>
      <c r="M47" s="184">
        <f t="shared" si="12"/>
        <v>15255950.58</v>
      </c>
      <c r="N47" s="252">
        <v>14108226</v>
      </c>
      <c r="O47" s="184">
        <f t="shared" si="13"/>
        <v>9875758.2</v>
      </c>
      <c r="P47" s="184">
        <f t="shared" si="14"/>
        <v>4232467.8</v>
      </c>
      <c r="Q47" s="184">
        <f>H47*61287.43</f>
        <v>367724.58</v>
      </c>
      <c r="R47" s="184">
        <v>780000</v>
      </c>
      <c r="S47" s="185">
        <v>44560</v>
      </c>
      <c r="T47" s="219" t="s">
        <v>184</v>
      </c>
      <c r="U47" s="258"/>
    </row>
    <row r="48" spans="1:21" ht="15" customHeight="1">
      <c r="A48" s="180">
        <f t="shared" si="15"/>
        <v>21</v>
      </c>
      <c r="B48" s="220" t="s">
        <v>366</v>
      </c>
      <c r="C48" s="219">
        <v>1994</v>
      </c>
      <c r="D48" s="221"/>
      <c r="E48" s="184" t="s">
        <v>185</v>
      </c>
      <c r="F48" s="179">
        <v>9</v>
      </c>
      <c r="G48" s="180">
        <v>2</v>
      </c>
      <c r="H48" s="179">
        <v>2</v>
      </c>
      <c r="I48" s="184">
        <v>12017.6</v>
      </c>
      <c r="J48" s="247">
        <v>4107.8</v>
      </c>
      <c r="K48" s="247">
        <v>4107.8</v>
      </c>
      <c r="L48" s="179">
        <v>541</v>
      </c>
      <c r="M48" s="184">
        <f t="shared" si="12"/>
        <v>5259921.52</v>
      </c>
      <c r="N48" s="252">
        <v>4869704</v>
      </c>
      <c r="O48" s="184">
        <f t="shared" si="13"/>
        <v>3408792.8</v>
      </c>
      <c r="P48" s="184">
        <f t="shared" si="14"/>
        <v>1460911.2</v>
      </c>
      <c r="Q48" s="184">
        <f>H48*65108.76</f>
        <v>130217.52</v>
      </c>
      <c r="R48" s="184">
        <v>260000</v>
      </c>
      <c r="S48" s="185">
        <v>44560</v>
      </c>
      <c r="T48" s="219" t="s">
        <v>184</v>
      </c>
      <c r="U48" s="258"/>
    </row>
    <row r="49" spans="1:21" ht="15" customHeight="1">
      <c r="A49" s="180">
        <f t="shared" si="15"/>
        <v>22</v>
      </c>
      <c r="B49" s="220" t="s">
        <v>367</v>
      </c>
      <c r="C49" s="219">
        <v>1990</v>
      </c>
      <c r="D49" s="221"/>
      <c r="E49" s="222" t="s">
        <v>368</v>
      </c>
      <c r="F49" s="179">
        <v>9</v>
      </c>
      <c r="G49" s="180">
        <v>2</v>
      </c>
      <c r="H49" s="179">
        <v>2</v>
      </c>
      <c r="I49" s="184">
        <v>4018.5</v>
      </c>
      <c r="J49" s="247">
        <v>3985.82</v>
      </c>
      <c r="K49" s="247">
        <v>3854.6</v>
      </c>
      <c r="L49" s="179">
        <v>193</v>
      </c>
      <c r="M49" s="184">
        <f t="shared" si="12"/>
        <v>5085316.86</v>
      </c>
      <c r="N49" s="252">
        <v>4702742</v>
      </c>
      <c r="O49" s="184">
        <f t="shared" si="13"/>
        <v>3291919.4</v>
      </c>
      <c r="P49" s="184">
        <f t="shared" si="14"/>
        <v>1410822.5999999999</v>
      </c>
      <c r="Q49" s="184">
        <f>H49*61287.43</f>
        <v>122574.86</v>
      </c>
      <c r="R49" s="184">
        <v>260000</v>
      </c>
      <c r="S49" s="246">
        <v>44560</v>
      </c>
      <c r="T49" s="219" t="s">
        <v>184</v>
      </c>
      <c r="U49" s="258"/>
    </row>
    <row r="50" spans="1:21" ht="15" customHeight="1">
      <c r="A50" s="180">
        <f t="shared" si="15"/>
        <v>23</v>
      </c>
      <c r="B50" s="220" t="s">
        <v>369</v>
      </c>
      <c r="C50" s="219">
        <v>1986</v>
      </c>
      <c r="D50" s="221"/>
      <c r="E50" s="222" t="s">
        <v>368</v>
      </c>
      <c r="F50" s="179">
        <v>9</v>
      </c>
      <c r="G50" s="180">
        <v>7</v>
      </c>
      <c r="H50" s="179">
        <v>7</v>
      </c>
      <c r="I50" s="184">
        <v>12986.58</v>
      </c>
      <c r="J50" s="247">
        <f>10407.45+412.5</f>
        <v>10819.95</v>
      </c>
      <c r="K50" s="247">
        <v>10407.45</v>
      </c>
      <c r="L50" s="179">
        <v>705</v>
      </c>
      <c r="M50" s="184">
        <f t="shared" si="12"/>
        <v>18450233.34</v>
      </c>
      <c r="N50" s="261">
        <v>17043964</v>
      </c>
      <c r="O50" s="184">
        <f t="shared" si="13"/>
        <v>11930774.799999999</v>
      </c>
      <c r="P50" s="184">
        <f t="shared" si="14"/>
        <v>5113189.2</v>
      </c>
      <c r="Q50" s="184">
        <v>496269.34</v>
      </c>
      <c r="R50" s="184">
        <v>910000</v>
      </c>
      <c r="S50" s="246">
        <v>44560</v>
      </c>
      <c r="T50" s="219" t="s">
        <v>184</v>
      </c>
      <c r="U50" s="258"/>
    </row>
    <row r="51" spans="1:21" ht="15" customHeight="1">
      <c r="A51" s="180">
        <f t="shared" si="15"/>
        <v>24</v>
      </c>
      <c r="B51" s="220" t="s">
        <v>370</v>
      </c>
      <c r="C51" s="219">
        <v>1988</v>
      </c>
      <c r="D51" s="221"/>
      <c r="E51" s="222" t="s">
        <v>368</v>
      </c>
      <c r="F51" s="179">
        <v>9</v>
      </c>
      <c r="G51" s="180">
        <v>7</v>
      </c>
      <c r="H51" s="179">
        <v>7</v>
      </c>
      <c r="I51" s="184">
        <v>14504.9</v>
      </c>
      <c r="J51" s="247">
        <f>13053.2+627.1</f>
        <v>13680.300000000001</v>
      </c>
      <c r="K51" s="247">
        <v>13053.2</v>
      </c>
      <c r="L51" s="179">
        <v>711</v>
      </c>
      <c r="M51" s="184">
        <f t="shared" si="12"/>
        <v>18450233.34</v>
      </c>
      <c r="N51" s="261">
        <v>17043964</v>
      </c>
      <c r="O51" s="184">
        <f t="shared" si="13"/>
        <v>11930774.799999999</v>
      </c>
      <c r="P51" s="184">
        <f t="shared" si="14"/>
        <v>5113189.2</v>
      </c>
      <c r="Q51" s="184">
        <v>496269.34</v>
      </c>
      <c r="R51" s="184">
        <v>910000</v>
      </c>
      <c r="S51" s="246">
        <v>44560</v>
      </c>
      <c r="T51" s="219" t="s">
        <v>184</v>
      </c>
      <c r="U51" s="258"/>
    </row>
    <row r="52" spans="1:21" ht="15" customHeight="1">
      <c r="A52" s="180">
        <f t="shared" si="15"/>
        <v>25</v>
      </c>
      <c r="B52" s="220" t="s">
        <v>371</v>
      </c>
      <c r="C52" s="219">
        <v>1981</v>
      </c>
      <c r="D52" s="221"/>
      <c r="E52" s="222" t="s">
        <v>368</v>
      </c>
      <c r="F52" s="179">
        <v>9</v>
      </c>
      <c r="G52" s="180">
        <v>5</v>
      </c>
      <c r="H52" s="179">
        <v>5</v>
      </c>
      <c r="I52" s="184">
        <v>9763.8</v>
      </c>
      <c r="J52" s="247">
        <v>9731.68</v>
      </c>
      <c r="K52" s="247">
        <v>9171</v>
      </c>
      <c r="L52" s="179">
        <v>584</v>
      </c>
      <c r="M52" s="184">
        <f t="shared" si="12"/>
        <v>13149803.8</v>
      </c>
      <c r="N52" s="261">
        <v>12174260</v>
      </c>
      <c r="O52" s="184">
        <f t="shared" si="13"/>
        <v>8521982</v>
      </c>
      <c r="P52" s="184">
        <f t="shared" si="14"/>
        <v>3652278</v>
      </c>
      <c r="Q52" s="184">
        <f>H52*65108.76</f>
        <v>325543.8</v>
      </c>
      <c r="R52" s="184">
        <v>650000</v>
      </c>
      <c r="S52" s="246">
        <v>44560</v>
      </c>
      <c r="T52" s="219" t="s">
        <v>184</v>
      </c>
      <c r="U52" s="258"/>
    </row>
    <row r="53" spans="1:21" ht="15" customHeight="1">
      <c r="A53" s="180">
        <f t="shared" si="15"/>
        <v>26</v>
      </c>
      <c r="B53" s="220" t="s">
        <v>372</v>
      </c>
      <c r="C53" s="219">
        <v>1989</v>
      </c>
      <c r="D53" s="221"/>
      <c r="E53" s="222" t="s">
        <v>368</v>
      </c>
      <c r="F53" s="179">
        <v>9</v>
      </c>
      <c r="G53" s="180">
        <v>3</v>
      </c>
      <c r="H53" s="179">
        <v>3</v>
      </c>
      <c r="I53" s="184">
        <v>5976.9</v>
      </c>
      <c r="J53" s="247">
        <v>5976.36</v>
      </c>
      <c r="K53" s="247">
        <v>5782.17</v>
      </c>
      <c r="L53" s="179">
        <v>242</v>
      </c>
      <c r="M53" s="184">
        <f t="shared" si="12"/>
        <v>7627975.29</v>
      </c>
      <c r="N53" s="261">
        <v>7054113</v>
      </c>
      <c r="O53" s="184">
        <f t="shared" si="13"/>
        <v>4937879.1</v>
      </c>
      <c r="P53" s="184">
        <f t="shared" si="14"/>
        <v>2116233.9</v>
      </c>
      <c r="Q53" s="184">
        <f>H53*61287.43</f>
        <v>183862.29</v>
      </c>
      <c r="R53" s="184">
        <v>390000</v>
      </c>
      <c r="S53" s="246">
        <v>44560</v>
      </c>
      <c r="T53" s="219" t="s">
        <v>184</v>
      </c>
      <c r="U53" s="258"/>
    </row>
    <row r="54" spans="1:21" ht="15" customHeight="1">
      <c r="A54" s="180">
        <f t="shared" si="15"/>
        <v>27</v>
      </c>
      <c r="B54" s="220" t="s">
        <v>373</v>
      </c>
      <c r="C54" s="219">
        <v>1986</v>
      </c>
      <c r="D54" s="221"/>
      <c r="E54" s="222" t="s">
        <v>368</v>
      </c>
      <c r="F54" s="179">
        <v>9</v>
      </c>
      <c r="G54" s="180">
        <v>6</v>
      </c>
      <c r="H54" s="179">
        <v>6</v>
      </c>
      <c r="I54" s="184">
        <v>11470.51</v>
      </c>
      <c r="J54" s="247">
        <v>11292.18</v>
      </c>
      <c r="K54" s="247">
        <v>10040.32</v>
      </c>
      <c r="L54" s="179">
        <v>637</v>
      </c>
      <c r="M54" s="184">
        <f t="shared" si="12"/>
        <v>15779764.56</v>
      </c>
      <c r="N54" s="261">
        <v>14609112</v>
      </c>
      <c r="O54" s="184">
        <f t="shared" si="13"/>
        <v>10226378.399999999</v>
      </c>
      <c r="P54" s="184">
        <f t="shared" si="14"/>
        <v>4382733.6</v>
      </c>
      <c r="Q54" s="184">
        <f>H54*65108.76</f>
        <v>390652.56</v>
      </c>
      <c r="R54" s="184">
        <v>780000</v>
      </c>
      <c r="S54" s="246">
        <v>44560</v>
      </c>
      <c r="T54" s="219" t="s">
        <v>184</v>
      </c>
      <c r="U54" s="258"/>
    </row>
    <row r="55" spans="1:21" ht="15" customHeight="1">
      <c r="A55" s="192" t="s">
        <v>23</v>
      </c>
      <c r="B55" s="242"/>
      <c r="C55" s="223" t="s">
        <v>261</v>
      </c>
      <c r="D55" s="207" t="s">
        <v>261</v>
      </c>
      <c r="E55" s="207" t="s">
        <v>261</v>
      </c>
      <c r="F55" s="207" t="s">
        <v>261</v>
      </c>
      <c r="G55" s="223" t="s">
        <v>261</v>
      </c>
      <c r="H55" s="179">
        <f aca="true" t="shared" si="16" ref="H55:R55">H44+H45+H46+H47+H48+H49+H50+H51+H52+H53+H54</f>
        <v>45</v>
      </c>
      <c r="I55" s="184">
        <f t="shared" si="16"/>
        <v>98717.4</v>
      </c>
      <c r="J55" s="247">
        <f t="shared" si="16"/>
        <v>87023.19</v>
      </c>
      <c r="K55" s="247">
        <f t="shared" si="16"/>
        <v>82911.76999999999</v>
      </c>
      <c r="L55" s="179">
        <f t="shared" si="16"/>
        <v>4823</v>
      </c>
      <c r="M55" s="184">
        <f t="shared" si="16"/>
        <v>117119715.29</v>
      </c>
      <c r="N55" s="252">
        <f t="shared" si="16"/>
        <v>108316125</v>
      </c>
      <c r="O55" s="252">
        <f t="shared" si="16"/>
        <v>75821287.5</v>
      </c>
      <c r="P55" s="252">
        <f t="shared" si="16"/>
        <v>32494837.5</v>
      </c>
      <c r="Q55" s="252">
        <f t="shared" si="16"/>
        <v>2953590.2900000005</v>
      </c>
      <c r="R55" s="252">
        <f t="shared" si="16"/>
        <v>5850000</v>
      </c>
      <c r="S55" s="207" t="s">
        <v>261</v>
      </c>
      <c r="T55" s="207" t="s">
        <v>261</v>
      </c>
      <c r="U55" s="258"/>
    </row>
    <row r="56" spans="1:21" ht="15" customHeight="1">
      <c r="A56" s="193" t="s">
        <v>281</v>
      </c>
      <c r="B56" s="242"/>
      <c r="C56" s="229" t="s">
        <v>261</v>
      </c>
      <c r="D56" s="236" t="s">
        <v>261</v>
      </c>
      <c r="E56" s="236" t="s">
        <v>261</v>
      </c>
      <c r="F56" s="236" t="s">
        <v>261</v>
      </c>
      <c r="G56" s="229" t="s">
        <v>261</v>
      </c>
      <c r="H56" s="190">
        <f>H55</f>
        <v>45</v>
      </c>
      <c r="I56" s="189">
        <f>I55</f>
        <v>98717.4</v>
      </c>
      <c r="J56" s="245">
        <f aca="true" t="shared" si="17" ref="J56:R56">J55</f>
        <v>87023.19</v>
      </c>
      <c r="K56" s="245">
        <f t="shared" si="17"/>
        <v>82911.76999999999</v>
      </c>
      <c r="L56" s="190">
        <f t="shared" si="17"/>
        <v>4823</v>
      </c>
      <c r="M56" s="189">
        <f t="shared" si="17"/>
        <v>117119715.29</v>
      </c>
      <c r="N56" s="255">
        <f t="shared" si="17"/>
        <v>108316125</v>
      </c>
      <c r="O56" s="189">
        <f t="shared" si="17"/>
        <v>75821287.5</v>
      </c>
      <c r="P56" s="189">
        <f t="shared" si="17"/>
        <v>32494837.5</v>
      </c>
      <c r="Q56" s="189">
        <f t="shared" si="17"/>
        <v>2953590.2900000005</v>
      </c>
      <c r="R56" s="189">
        <f t="shared" si="17"/>
        <v>5850000</v>
      </c>
      <c r="S56" s="236" t="s">
        <v>261</v>
      </c>
      <c r="T56" s="236" t="s">
        <v>261</v>
      </c>
      <c r="U56" s="258"/>
    </row>
    <row r="57" spans="1:21" ht="15" customHeight="1">
      <c r="A57" s="329" t="s">
        <v>31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1"/>
      <c r="U57" s="258"/>
    </row>
    <row r="58" spans="1:21" ht="15" customHeight="1">
      <c r="A58" s="202" t="s">
        <v>32</v>
      </c>
      <c r="B58" s="235"/>
      <c r="C58" s="223"/>
      <c r="D58" s="207"/>
      <c r="E58" s="207"/>
      <c r="F58" s="207"/>
      <c r="G58" s="223"/>
      <c r="H58" s="190"/>
      <c r="I58" s="189"/>
      <c r="J58" s="189"/>
      <c r="K58" s="189"/>
      <c r="L58" s="190"/>
      <c r="M58" s="184"/>
      <c r="N58" s="252"/>
      <c r="O58" s="184"/>
      <c r="P58" s="184"/>
      <c r="Q58" s="184"/>
      <c r="R58" s="184"/>
      <c r="S58" s="236"/>
      <c r="T58" s="236"/>
      <c r="U58" s="258"/>
    </row>
    <row r="59" spans="1:21" ht="15" customHeight="1">
      <c r="A59" s="180">
        <f>A54+1</f>
        <v>28</v>
      </c>
      <c r="B59" s="182" t="s">
        <v>374</v>
      </c>
      <c r="C59" s="216">
        <v>1984</v>
      </c>
      <c r="D59" s="207"/>
      <c r="E59" s="223" t="s">
        <v>190</v>
      </c>
      <c r="F59" s="179">
        <v>9</v>
      </c>
      <c r="G59" s="180">
        <v>8</v>
      </c>
      <c r="H59" s="179">
        <v>6</v>
      </c>
      <c r="I59" s="184">
        <v>16911.08</v>
      </c>
      <c r="J59" s="184">
        <v>14607.36</v>
      </c>
      <c r="K59" s="184">
        <v>12808.71</v>
      </c>
      <c r="L59" s="179">
        <v>928</v>
      </c>
      <c r="M59" s="184">
        <f>N59+Q59+R59</f>
        <v>15814485.72</v>
      </c>
      <c r="N59" s="259">
        <v>14609112</v>
      </c>
      <c r="O59" s="184">
        <f>N59*0.7</f>
        <v>10226378.399999999</v>
      </c>
      <c r="P59" s="184">
        <f>N59*0.3</f>
        <v>4382733.6</v>
      </c>
      <c r="Q59" s="184">
        <v>425373.72</v>
      </c>
      <c r="R59" s="184">
        <v>780000</v>
      </c>
      <c r="S59" s="185">
        <v>44560</v>
      </c>
      <c r="T59" s="219" t="s">
        <v>184</v>
      </c>
      <c r="U59" s="258"/>
    </row>
    <row r="60" spans="1:21" ht="15" customHeight="1">
      <c r="A60" s="321" t="s">
        <v>23</v>
      </c>
      <c r="B60" s="322"/>
      <c r="C60" s="223" t="s">
        <v>261</v>
      </c>
      <c r="D60" s="207" t="s">
        <v>261</v>
      </c>
      <c r="E60" s="207" t="s">
        <v>261</v>
      </c>
      <c r="F60" s="207" t="s">
        <v>261</v>
      </c>
      <c r="G60" s="207" t="s">
        <v>261</v>
      </c>
      <c r="H60" s="179">
        <f>H59</f>
        <v>6</v>
      </c>
      <c r="I60" s="184">
        <f>I59</f>
        <v>16911.08</v>
      </c>
      <c r="J60" s="184">
        <f aca="true" t="shared" si="18" ref="J60:R60">J59</f>
        <v>14607.36</v>
      </c>
      <c r="K60" s="184">
        <f t="shared" si="18"/>
        <v>12808.71</v>
      </c>
      <c r="L60" s="179">
        <f t="shared" si="18"/>
        <v>928</v>
      </c>
      <c r="M60" s="184">
        <f t="shared" si="18"/>
        <v>15814485.72</v>
      </c>
      <c r="N60" s="252">
        <f t="shared" si="18"/>
        <v>14609112</v>
      </c>
      <c r="O60" s="184">
        <f t="shared" si="18"/>
        <v>10226378.399999999</v>
      </c>
      <c r="P60" s="184">
        <f t="shared" si="18"/>
        <v>4382733.6</v>
      </c>
      <c r="Q60" s="184">
        <f t="shared" si="18"/>
        <v>425373.72</v>
      </c>
      <c r="R60" s="184">
        <f t="shared" si="18"/>
        <v>780000</v>
      </c>
      <c r="S60" s="207" t="s">
        <v>261</v>
      </c>
      <c r="T60" s="207" t="s">
        <v>261</v>
      </c>
      <c r="U60" s="258"/>
    </row>
    <row r="61" spans="1:21" ht="15" customHeight="1">
      <c r="A61" s="202" t="s">
        <v>339</v>
      </c>
      <c r="B61" s="235"/>
      <c r="C61" s="223"/>
      <c r="D61" s="207"/>
      <c r="E61" s="207"/>
      <c r="F61" s="207"/>
      <c r="G61" s="223"/>
      <c r="H61" s="190"/>
      <c r="I61" s="189"/>
      <c r="J61" s="189"/>
      <c r="K61" s="189"/>
      <c r="L61" s="190"/>
      <c r="M61" s="237"/>
      <c r="N61" s="256"/>
      <c r="O61" s="189"/>
      <c r="P61" s="189"/>
      <c r="Q61" s="239"/>
      <c r="R61" s="189"/>
      <c r="S61" s="236"/>
      <c r="T61" s="236"/>
      <c r="U61" s="258"/>
    </row>
    <row r="62" spans="1:21" ht="15" customHeight="1">
      <c r="A62" s="224">
        <f>A59+1</f>
        <v>29</v>
      </c>
      <c r="B62" s="205" t="s">
        <v>375</v>
      </c>
      <c r="C62" s="180">
        <v>1993</v>
      </c>
      <c r="D62" s="207"/>
      <c r="E62" s="223" t="s">
        <v>343</v>
      </c>
      <c r="F62" s="179">
        <v>9</v>
      </c>
      <c r="G62" s="180">
        <v>2</v>
      </c>
      <c r="H62" s="179">
        <v>2</v>
      </c>
      <c r="I62" s="184">
        <v>4734.38</v>
      </c>
      <c r="J62" s="184">
        <v>3885.6</v>
      </c>
      <c r="K62" s="184">
        <v>3885.6</v>
      </c>
      <c r="L62" s="179">
        <v>160</v>
      </c>
      <c r="M62" s="184">
        <f>N62+Q62+R62</f>
        <v>5259921.52</v>
      </c>
      <c r="N62" s="259">
        <v>4869704</v>
      </c>
      <c r="O62" s="184">
        <f>N62*0.7</f>
        <v>3408792.8</v>
      </c>
      <c r="P62" s="184">
        <f>N62*0.3</f>
        <v>1460911.2</v>
      </c>
      <c r="Q62" s="238">
        <f>H62*65108.76</f>
        <v>130217.52</v>
      </c>
      <c r="R62" s="184">
        <v>260000</v>
      </c>
      <c r="S62" s="185">
        <v>44560</v>
      </c>
      <c r="T62" s="219" t="s">
        <v>184</v>
      </c>
      <c r="U62" s="258"/>
    </row>
    <row r="63" spans="1:21" ht="15" customHeight="1">
      <c r="A63" s="224">
        <f>A62+1</f>
        <v>30</v>
      </c>
      <c r="B63" s="205" t="s">
        <v>376</v>
      </c>
      <c r="C63" s="180">
        <v>1994</v>
      </c>
      <c r="D63" s="207"/>
      <c r="E63" s="223" t="s">
        <v>343</v>
      </c>
      <c r="F63" s="179">
        <v>9</v>
      </c>
      <c r="G63" s="180">
        <v>3</v>
      </c>
      <c r="H63" s="179">
        <v>3</v>
      </c>
      <c r="I63" s="184">
        <v>6614.49</v>
      </c>
      <c r="J63" s="184">
        <v>5924.76</v>
      </c>
      <c r="K63" s="184">
        <v>5924.76</v>
      </c>
      <c r="L63" s="179">
        <v>230</v>
      </c>
      <c r="M63" s="184">
        <f>N63+Q63+R63</f>
        <v>7889882.28</v>
      </c>
      <c r="N63" s="259">
        <v>7304556</v>
      </c>
      <c r="O63" s="184">
        <f>N63*0.7</f>
        <v>5113189.199999999</v>
      </c>
      <c r="P63" s="184">
        <f>N63*0.3</f>
        <v>2191366.8</v>
      </c>
      <c r="Q63" s="238">
        <f>H63*65108.76</f>
        <v>195326.28</v>
      </c>
      <c r="R63" s="184">
        <v>390000</v>
      </c>
      <c r="S63" s="185">
        <v>44560</v>
      </c>
      <c r="T63" s="219" t="s">
        <v>184</v>
      </c>
      <c r="U63" s="258"/>
    </row>
    <row r="64" spans="1:21" ht="15" customHeight="1">
      <c r="A64" s="224">
        <f>A63+1</f>
        <v>31</v>
      </c>
      <c r="B64" s="205" t="s">
        <v>377</v>
      </c>
      <c r="C64" s="180">
        <v>1995</v>
      </c>
      <c r="D64" s="207"/>
      <c r="E64" s="223" t="s">
        <v>343</v>
      </c>
      <c r="F64" s="179">
        <v>9</v>
      </c>
      <c r="G64" s="180">
        <v>4</v>
      </c>
      <c r="H64" s="179">
        <v>4</v>
      </c>
      <c r="I64" s="184">
        <v>9281.77</v>
      </c>
      <c r="J64" s="184">
        <v>7764.29</v>
      </c>
      <c r="K64" s="184">
        <v>7764.29</v>
      </c>
      <c r="L64" s="179">
        <v>322</v>
      </c>
      <c r="M64" s="184">
        <f>N64+Q64+R64</f>
        <v>10519843.04</v>
      </c>
      <c r="N64" s="259">
        <v>9739408</v>
      </c>
      <c r="O64" s="184">
        <f>N64*0.7</f>
        <v>6817585.6</v>
      </c>
      <c r="P64" s="184">
        <f>N64*0.3</f>
        <v>2921822.4</v>
      </c>
      <c r="Q64" s="238">
        <f>H64*65108.76</f>
        <v>260435.04</v>
      </c>
      <c r="R64" s="184">
        <v>520000</v>
      </c>
      <c r="S64" s="185">
        <v>44560</v>
      </c>
      <c r="T64" s="219" t="s">
        <v>184</v>
      </c>
      <c r="U64" s="258"/>
    </row>
    <row r="65" spans="1:20" ht="15" customHeight="1">
      <c r="A65" s="321" t="s">
        <v>23</v>
      </c>
      <c r="B65" s="322"/>
      <c r="C65" s="223" t="s">
        <v>261</v>
      </c>
      <c r="D65" s="207" t="s">
        <v>261</v>
      </c>
      <c r="E65" s="207" t="s">
        <v>261</v>
      </c>
      <c r="F65" s="207" t="s">
        <v>261</v>
      </c>
      <c r="G65" s="207" t="s">
        <v>261</v>
      </c>
      <c r="H65" s="179">
        <f aca="true" t="shared" si="19" ref="H65:R65">SUM(H61:H64)</f>
        <v>9</v>
      </c>
      <c r="I65" s="184">
        <f t="shared" si="19"/>
        <v>20630.64</v>
      </c>
      <c r="J65" s="184">
        <f t="shared" si="19"/>
        <v>17574.65</v>
      </c>
      <c r="K65" s="184">
        <f t="shared" si="19"/>
        <v>17574.65</v>
      </c>
      <c r="L65" s="179">
        <f t="shared" si="19"/>
        <v>712</v>
      </c>
      <c r="M65" s="184">
        <f t="shared" si="19"/>
        <v>23669646.84</v>
      </c>
      <c r="N65" s="252">
        <f t="shared" si="19"/>
        <v>21913668</v>
      </c>
      <c r="O65" s="184">
        <f t="shared" si="19"/>
        <v>15339567.6</v>
      </c>
      <c r="P65" s="184">
        <f t="shared" si="19"/>
        <v>6574100.4</v>
      </c>
      <c r="Q65" s="184">
        <f t="shared" si="19"/>
        <v>585978.84</v>
      </c>
      <c r="R65" s="184">
        <f t="shared" si="19"/>
        <v>1170000</v>
      </c>
      <c r="S65" s="207" t="s">
        <v>261</v>
      </c>
      <c r="T65" s="207" t="s">
        <v>261</v>
      </c>
    </row>
    <row r="66" spans="1:20" ht="15" customHeight="1">
      <c r="A66" s="313" t="s">
        <v>34</v>
      </c>
      <c r="B66" s="314"/>
      <c r="C66" s="229" t="s">
        <v>261</v>
      </c>
      <c r="D66" s="236" t="s">
        <v>261</v>
      </c>
      <c r="E66" s="236" t="s">
        <v>261</v>
      </c>
      <c r="F66" s="236" t="s">
        <v>261</v>
      </c>
      <c r="G66" s="229" t="s">
        <v>261</v>
      </c>
      <c r="H66" s="243">
        <f aca="true" t="shared" si="20" ref="H66:M66">H65+H60</f>
        <v>15</v>
      </c>
      <c r="I66" s="187">
        <f t="shared" si="20"/>
        <v>37541.72</v>
      </c>
      <c r="J66" s="187">
        <f t="shared" si="20"/>
        <v>32182.010000000002</v>
      </c>
      <c r="K66" s="187">
        <f t="shared" si="20"/>
        <v>30383.36</v>
      </c>
      <c r="L66" s="243">
        <f t="shared" si="20"/>
        <v>1640</v>
      </c>
      <c r="M66" s="187">
        <f t="shared" si="20"/>
        <v>39484132.56</v>
      </c>
      <c r="N66" s="187">
        <f>N65+N60</f>
        <v>36522780</v>
      </c>
      <c r="O66" s="187">
        <f>O65+O60</f>
        <v>25565946</v>
      </c>
      <c r="P66" s="187">
        <f>P65+P60</f>
        <v>10956834</v>
      </c>
      <c r="Q66" s="187">
        <f>Q65+Q60</f>
        <v>1011352.5599999999</v>
      </c>
      <c r="R66" s="187">
        <f>R65+R60</f>
        <v>1950000</v>
      </c>
      <c r="S66" s="236" t="s">
        <v>261</v>
      </c>
      <c r="T66" s="236" t="s">
        <v>261</v>
      </c>
    </row>
    <row r="67" spans="1:20" s="225" customFormat="1" ht="15">
      <c r="A67" s="327" t="s">
        <v>43</v>
      </c>
      <c r="B67" s="328"/>
      <c r="C67" s="229" t="s">
        <v>261</v>
      </c>
      <c r="D67" s="229" t="s">
        <v>261</v>
      </c>
      <c r="E67" s="236" t="s">
        <v>261</v>
      </c>
      <c r="F67" s="229" t="s">
        <v>261</v>
      </c>
      <c r="G67" s="229" t="s">
        <v>261</v>
      </c>
      <c r="H67" s="190">
        <f>H18+H30+H41+H56+H66</f>
        <v>100</v>
      </c>
      <c r="I67" s="189">
        <f aca="true" t="shared" si="21" ref="I67:N67">I18+I30+I41+I56+I66</f>
        <v>240458.99000000002</v>
      </c>
      <c r="J67" s="189">
        <f t="shared" si="21"/>
        <v>190704.78</v>
      </c>
      <c r="K67" s="189">
        <f t="shared" si="21"/>
        <v>169061.93</v>
      </c>
      <c r="L67" s="190">
        <f t="shared" si="21"/>
        <v>9331</v>
      </c>
      <c r="M67" s="189">
        <f t="shared" si="21"/>
        <v>253876496.23000002</v>
      </c>
      <c r="N67" s="255">
        <f t="shared" si="21"/>
        <v>237356072.8</v>
      </c>
      <c r="O67" s="255">
        <f>O18+O30+O41+O56+O66</f>
        <v>166149250.95999998</v>
      </c>
      <c r="P67" s="255">
        <f>P18+P30+P41+P56+P66</f>
        <v>71206821.84</v>
      </c>
      <c r="Q67" s="255">
        <f>Q18+Q30+Q41+Q56+Q66</f>
        <v>6510423.430000001</v>
      </c>
      <c r="R67" s="255">
        <f>R18+R30+R41+R56+R66</f>
        <v>10010000</v>
      </c>
      <c r="S67" s="236" t="s">
        <v>261</v>
      </c>
      <c r="T67" s="236" t="s">
        <v>261</v>
      </c>
    </row>
    <row r="68" spans="1:20" s="225" customFormat="1" ht="15" customHeight="1">
      <c r="A68" s="327" t="s">
        <v>322</v>
      </c>
      <c r="B68" s="328"/>
      <c r="C68" s="229"/>
      <c r="D68" s="229"/>
      <c r="E68" s="236"/>
      <c r="F68" s="229"/>
      <c r="G68" s="229"/>
      <c r="H68" s="236"/>
      <c r="I68" s="189"/>
      <c r="J68" s="189"/>
      <c r="K68" s="189"/>
      <c r="L68" s="191"/>
      <c r="M68" s="244">
        <f>(O67+P67)*0.0214</f>
        <v>5079419.957919999</v>
      </c>
      <c r="N68" s="257"/>
      <c r="O68" s="245"/>
      <c r="P68" s="189">
        <f>M68</f>
        <v>5079419.957919999</v>
      </c>
      <c r="Q68" s="189"/>
      <c r="R68" s="189"/>
      <c r="S68" s="236"/>
      <c r="T68" s="189"/>
    </row>
    <row r="69" spans="1:20" s="225" customFormat="1" ht="15" customHeight="1">
      <c r="A69" s="327" t="s">
        <v>323</v>
      </c>
      <c r="B69" s="328"/>
      <c r="C69" s="229"/>
      <c r="D69" s="229"/>
      <c r="E69" s="236"/>
      <c r="F69" s="229"/>
      <c r="G69" s="229"/>
      <c r="H69" s="236"/>
      <c r="I69" s="189"/>
      <c r="J69" s="189"/>
      <c r="K69" s="189"/>
      <c r="L69" s="191"/>
      <c r="M69" s="189">
        <f>M68+M67</f>
        <v>258955916.18792</v>
      </c>
      <c r="N69" s="255"/>
      <c r="O69" s="189"/>
      <c r="P69" s="189">
        <f>SUM(P67:P68)</f>
        <v>76286241.79792</v>
      </c>
      <c r="Q69" s="189">
        <f>SUM(Q67:Q68)</f>
        <v>6510423.430000001</v>
      </c>
      <c r="R69" s="189">
        <f>SUM(R67:R68)</f>
        <v>10010000</v>
      </c>
      <c r="S69" s="236"/>
      <c r="T69" s="236"/>
    </row>
    <row r="74" ht="15">
      <c r="J74" s="262"/>
    </row>
  </sheetData>
  <sheetProtection/>
  <mergeCells count="37">
    <mergeCell ref="A68:B68"/>
    <mergeCell ref="A69:B69"/>
    <mergeCell ref="A60:B60"/>
    <mergeCell ref="A65:B65"/>
    <mergeCell ref="A66:B66"/>
    <mergeCell ref="A31:T31"/>
    <mergeCell ref="A40:B40"/>
    <mergeCell ref="A41:B41"/>
    <mergeCell ref="A42:O42"/>
    <mergeCell ref="A57:T57"/>
    <mergeCell ref="A67:B67"/>
    <mergeCell ref="A18:B18"/>
    <mergeCell ref="A19:T19"/>
    <mergeCell ref="N5:P6"/>
    <mergeCell ref="A43:B43"/>
    <mergeCell ref="J5:K5"/>
    <mergeCell ref="L5:L7"/>
    <mergeCell ref="Q5:Q6"/>
    <mergeCell ref="S5:S8"/>
    <mergeCell ref="A24:B24"/>
    <mergeCell ref="A30:B30"/>
    <mergeCell ref="G5:G8"/>
    <mergeCell ref="H5:H8"/>
    <mergeCell ref="I5:I7"/>
    <mergeCell ref="R5:R6"/>
    <mergeCell ref="A10:T10"/>
    <mergeCell ref="A17:B17"/>
    <mergeCell ref="M5:M7"/>
    <mergeCell ref="T5:T8"/>
    <mergeCell ref="J6:J7"/>
    <mergeCell ref="K6:K7"/>
    <mergeCell ref="A4:T4"/>
    <mergeCell ref="A5:A8"/>
    <mergeCell ref="B5:B8"/>
    <mergeCell ref="C5:D8"/>
    <mergeCell ref="E5:E8"/>
    <mergeCell ref="F5:F8"/>
  </mergeCells>
  <conditionalFormatting sqref="B12">
    <cfRule type="duplicateValues" priority="5" dxfId="0">
      <formula>AND(COUNTIF($B$12:$B$12,B12)&gt;1,NOT(ISBLANK(B12)))</formula>
    </cfRule>
  </conditionalFormatting>
  <conditionalFormatting sqref="B45:B47">
    <cfRule type="duplicateValues" priority="3" dxfId="0">
      <formula>AND(COUNTIF($B$45:$B$47,B45)&gt;1,NOT(ISBLANK(B45)))</formula>
    </cfRule>
  </conditionalFormatting>
  <conditionalFormatting sqref="B49:B54">
    <cfRule type="duplicateValues" priority="2" dxfId="0">
      <formula>AND(COUNTIF($B$49:$B$54,B49)&gt;1,NOT(ISBLANK(B49)))</formula>
    </cfRule>
  </conditionalFormatting>
  <conditionalFormatting sqref="B44">
    <cfRule type="duplicateValues" priority="4" dxfId="0">
      <formula>AND(COUNTIF($B$44:$B$44,B44)&gt;1,NOT(ISBLANK(B44)))</formula>
    </cfRule>
  </conditionalFormatting>
  <conditionalFormatting sqref="B48">
    <cfRule type="duplicateValues" priority="1" dxfId="0">
      <formula>AND(COUNTIF($B$48:$B$48,B48)&gt;1,NOT(ISBLANK(B48)))</formula>
    </cfRule>
  </conditionalFormatting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3.5">
      <c r="A1" s="7"/>
      <c r="B1" s="7"/>
    </row>
    <row r="2" spans="1:22" s="2" customFormat="1" ht="12.75">
      <c r="A2" s="357" t="s">
        <v>259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1"/>
      <c r="V2" s="1"/>
    </row>
    <row r="3" spans="1:22" s="2" customFormat="1" ht="12.75">
      <c r="A3" s="1"/>
      <c r="B3" s="1"/>
      <c r="C3" s="1"/>
      <c r="D3" s="277" t="s">
        <v>260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97" t="s">
        <v>1</v>
      </c>
      <c r="B5" s="297" t="s">
        <v>0</v>
      </c>
      <c r="C5" s="265" t="s">
        <v>2</v>
      </c>
      <c r="D5" s="265"/>
      <c r="E5" s="280" t="s">
        <v>3</v>
      </c>
      <c r="F5" s="280" t="s">
        <v>4</v>
      </c>
      <c r="G5" s="280" t="s">
        <v>5</v>
      </c>
      <c r="H5" s="393" t="s">
        <v>257</v>
      </c>
      <c r="I5" s="347" t="s">
        <v>6</v>
      </c>
      <c r="J5" s="297" t="s">
        <v>7</v>
      </c>
      <c r="K5" s="297"/>
      <c r="L5" s="347" t="s">
        <v>8</v>
      </c>
      <c r="M5" s="347" t="s">
        <v>315</v>
      </c>
      <c r="N5" s="347" t="s">
        <v>316</v>
      </c>
      <c r="O5" s="351" t="s">
        <v>258</v>
      </c>
      <c r="P5" s="352"/>
      <c r="Q5" s="352"/>
      <c r="R5" s="352"/>
      <c r="S5" s="353"/>
      <c r="T5" s="296" t="s">
        <v>9</v>
      </c>
      <c r="U5" s="296" t="s">
        <v>10</v>
      </c>
      <c r="V5" s="86"/>
    </row>
    <row r="6" spans="1:22" s="2" customFormat="1" ht="15" customHeight="1">
      <c r="A6" s="297"/>
      <c r="B6" s="297"/>
      <c r="C6" s="296" t="s">
        <v>11</v>
      </c>
      <c r="D6" s="296" t="s">
        <v>12</v>
      </c>
      <c r="E6" s="280"/>
      <c r="F6" s="280"/>
      <c r="G6" s="280"/>
      <c r="H6" s="394"/>
      <c r="I6" s="348"/>
      <c r="J6" s="347" t="s">
        <v>13</v>
      </c>
      <c r="K6" s="347" t="s">
        <v>14</v>
      </c>
      <c r="L6" s="348"/>
      <c r="M6" s="348"/>
      <c r="N6" s="348"/>
      <c r="O6" s="354"/>
      <c r="P6" s="355"/>
      <c r="Q6" s="355"/>
      <c r="R6" s="355"/>
      <c r="S6" s="356"/>
      <c r="T6" s="296"/>
      <c r="U6" s="296"/>
      <c r="V6" s="86"/>
    </row>
    <row r="7" spans="1:22" s="2" customFormat="1" ht="24.75" customHeight="1">
      <c r="A7" s="297"/>
      <c r="B7" s="297"/>
      <c r="C7" s="296"/>
      <c r="D7" s="296"/>
      <c r="E7" s="280"/>
      <c r="F7" s="280"/>
      <c r="G7" s="280"/>
      <c r="H7" s="394"/>
      <c r="I7" s="348"/>
      <c r="J7" s="348"/>
      <c r="K7" s="348"/>
      <c r="L7" s="348"/>
      <c r="M7" s="348"/>
      <c r="N7" s="348"/>
      <c r="O7" s="360">
        <v>2018</v>
      </c>
      <c r="P7" s="361"/>
      <c r="Q7" s="358">
        <v>2019</v>
      </c>
      <c r="R7" s="358">
        <v>2020</v>
      </c>
      <c r="S7" s="358">
        <v>2021</v>
      </c>
      <c r="T7" s="296"/>
      <c r="U7" s="296"/>
      <c r="V7" s="86"/>
    </row>
    <row r="8" spans="1:22" s="2" customFormat="1" ht="39.75" customHeight="1">
      <c r="A8" s="297"/>
      <c r="B8" s="297"/>
      <c r="C8" s="296"/>
      <c r="D8" s="296"/>
      <c r="E8" s="280"/>
      <c r="F8" s="280"/>
      <c r="G8" s="280"/>
      <c r="H8" s="394"/>
      <c r="I8" s="349"/>
      <c r="J8" s="349"/>
      <c r="K8" s="349"/>
      <c r="L8" s="349"/>
      <c r="M8" s="349"/>
      <c r="N8" s="350"/>
      <c r="O8" s="362"/>
      <c r="P8" s="363"/>
      <c r="Q8" s="359"/>
      <c r="R8" s="359"/>
      <c r="S8" s="359"/>
      <c r="T8" s="296"/>
      <c r="U8" s="296"/>
      <c r="V8" s="86"/>
    </row>
    <row r="9" spans="1:22" s="2" customFormat="1" ht="46.5" customHeight="1">
      <c r="A9" s="297"/>
      <c r="B9" s="297"/>
      <c r="C9" s="296"/>
      <c r="D9" s="296"/>
      <c r="E9" s="280"/>
      <c r="F9" s="280"/>
      <c r="G9" s="280"/>
      <c r="H9" s="395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96"/>
      <c r="U9" s="296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95" t="s">
        <v>24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88"/>
    </row>
    <row r="12" spans="1:22" ht="15" customHeight="1">
      <c r="A12" s="273" t="s">
        <v>45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5"/>
      <c r="V12" s="89"/>
    </row>
    <row r="13" spans="1:23" s="20" customFormat="1" ht="13.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368" t="s">
        <v>23</v>
      </c>
      <c r="B14" s="369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3.5">
      <c r="A15" s="273" t="s">
        <v>47</v>
      </c>
      <c r="B15" s="274"/>
      <c r="C15" s="274"/>
      <c r="D15" s="274"/>
      <c r="E15" s="275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9"/>
      <c r="V15" s="91"/>
    </row>
    <row r="16" spans="1:23" s="20" customFormat="1" ht="13.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3.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3.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368" t="s">
        <v>23</v>
      </c>
      <c r="B19" s="369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364" t="s">
        <v>262</v>
      </c>
      <c r="B20" s="365"/>
      <c r="C20" s="365"/>
      <c r="D20" s="365"/>
      <c r="E20" s="366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368" t="s">
        <v>23</v>
      </c>
      <c r="B23" s="369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370" t="s">
        <v>25</v>
      </c>
      <c r="B24" s="37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270" t="s">
        <v>256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2"/>
      <c r="V25" s="88"/>
    </row>
    <row r="26" spans="1:22" ht="13.5">
      <c r="A26" s="273" t="s">
        <v>26</v>
      </c>
      <c r="B26" s="274"/>
      <c r="C26" s="274"/>
      <c r="D26" s="274"/>
      <c r="E26" s="275"/>
      <c r="F26" s="267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9"/>
      <c r="V26" s="91"/>
    </row>
    <row r="27" spans="1:22" ht="13.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3.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3.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3.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3.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3.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3.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3.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3.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3.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3.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3.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3.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3.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3.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3.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3.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3.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3.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3.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3.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3.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3.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3.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3.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3.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3.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3.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368" t="s">
        <v>23</v>
      </c>
      <c r="B55" s="369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372" t="s">
        <v>324</v>
      </c>
      <c r="W59" s="373"/>
    </row>
    <row r="60" spans="1:22" ht="15" customHeight="1">
      <c r="A60" s="374" t="s">
        <v>23</v>
      </c>
      <c r="B60" s="374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370" t="s">
        <v>27</v>
      </c>
      <c r="B61" s="371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375" t="s">
        <v>273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7"/>
      <c r="V62" s="92"/>
    </row>
    <row r="63" spans="1:22" s="15" customFormat="1" ht="15" customHeight="1">
      <c r="A63" s="364" t="s">
        <v>274</v>
      </c>
      <c r="B63" s="365"/>
      <c r="C63" s="365"/>
      <c r="D63" s="365"/>
      <c r="E63" s="366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374" t="s">
        <v>23</v>
      </c>
      <c r="B70" s="374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378" t="s">
        <v>281</v>
      </c>
      <c r="B71" s="378"/>
      <c r="C71" s="378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270" t="s">
        <v>28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2"/>
      <c r="V72" s="88"/>
    </row>
    <row r="73" spans="1:22" ht="13.5">
      <c r="A73" s="273" t="s">
        <v>29</v>
      </c>
      <c r="B73" s="274"/>
      <c r="C73" s="274"/>
      <c r="D73" s="274"/>
      <c r="E73" s="275"/>
      <c r="F73" s="267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9"/>
      <c r="V73" s="91"/>
    </row>
    <row r="74" spans="1:22" s="20" customFormat="1" ht="13.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3.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3.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3.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3.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3.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368" t="s">
        <v>23</v>
      </c>
      <c r="B80" s="369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370" t="s">
        <v>30</v>
      </c>
      <c r="B81" s="371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270" t="s">
        <v>31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2"/>
      <c r="V82" s="88"/>
    </row>
    <row r="83" spans="1:22" ht="13.5">
      <c r="A83" s="273" t="s">
        <v>32</v>
      </c>
      <c r="B83" s="274"/>
      <c r="C83" s="274"/>
      <c r="D83" s="274"/>
      <c r="E83" s="275"/>
      <c r="F83" s="267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9"/>
      <c r="V83" s="91"/>
    </row>
    <row r="84" spans="1:22" s="20" customFormat="1" ht="13.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3.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3.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368" t="s">
        <v>23</v>
      </c>
      <c r="B87" s="369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3.5">
      <c r="A88" s="273" t="s">
        <v>33</v>
      </c>
      <c r="B88" s="274"/>
      <c r="C88" s="274"/>
      <c r="D88" s="274"/>
      <c r="E88" s="275"/>
      <c r="F88" s="267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9"/>
      <c r="V88" s="91"/>
    </row>
    <row r="89" spans="1:22" ht="13.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3.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3.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3.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3.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3.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368" t="s">
        <v>23</v>
      </c>
      <c r="B95" s="369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3.5">
      <c r="A96" s="273" t="s">
        <v>44</v>
      </c>
      <c r="B96" s="274"/>
      <c r="C96" s="274"/>
      <c r="D96" s="274"/>
      <c r="E96" s="275"/>
      <c r="F96" s="267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9"/>
      <c r="V96" s="91"/>
    </row>
    <row r="97" spans="1:22" ht="13.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3.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3.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3.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3.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3.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3.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368" t="s">
        <v>23</v>
      </c>
      <c r="B104" s="369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3.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3.5">
      <c r="A106" s="375" t="s">
        <v>294</v>
      </c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7"/>
      <c r="V106" s="92"/>
    </row>
    <row r="107" spans="1:22" s="15" customFormat="1" ht="13.5">
      <c r="A107" s="379" t="s">
        <v>295</v>
      </c>
      <c r="B107" s="380"/>
      <c r="C107" s="380"/>
      <c r="D107" s="380"/>
      <c r="E107" s="381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382" t="s">
        <v>321</v>
      </c>
      <c r="W108" s="383"/>
      <c r="X108" s="383"/>
    </row>
    <row r="109" spans="1:22" s="15" customFormat="1" ht="13.5">
      <c r="A109" s="374" t="s">
        <v>23</v>
      </c>
      <c r="B109" s="374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3.5">
      <c r="A110" s="378" t="s">
        <v>297</v>
      </c>
      <c r="B110" s="378"/>
      <c r="C110" s="378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270" t="s">
        <v>35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2"/>
      <c r="V111" s="88"/>
    </row>
    <row r="112" spans="1:22" ht="13.5">
      <c r="A112" s="273" t="s">
        <v>36</v>
      </c>
      <c r="B112" s="274"/>
      <c r="C112" s="274"/>
      <c r="D112" s="274"/>
      <c r="E112" s="275"/>
      <c r="F112" s="267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9"/>
      <c r="V112" s="91"/>
    </row>
    <row r="113" spans="1:22" s="20" customFormat="1" ht="13.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3.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3.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3.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3.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3.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3.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368" t="s">
        <v>23</v>
      </c>
      <c r="B120" s="369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370" t="s">
        <v>37</v>
      </c>
      <c r="B121" s="371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270" t="s">
        <v>38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2"/>
      <c r="V122" s="88"/>
    </row>
    <row r="123" spans="1:22" ht="13.5">
      <c r="A123" s="273" t="s">
        <v>39</v>
      </c>
      <c r="B123" s="274"/>
      <c r="C123" s="274"/>
      <c r="D123" s="274"/>
      <c r="E123" s="275"/>
      <c r="F123" s="267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9"/>
      <c r="V123" s="91"/>
    </row>
    <row r="124" spans="1:22" s="20" customFormat="1" ht="13.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3.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3.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368" t="s">
        <v>23</v>
      </c>
      <c r="B127" s="369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370" t="s">
        <v>40</v>
      </c>
      <c r="B128" s="371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385" t="s">
        <v>299</v>
      </c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7"/>
      <c r="V129" s="97"/>
    </row>
    <row r="130" spans="1:22" s="15" customFormat="1" ht="15" customHeight="1">
      <c r="A130" s="388" t="s">
        <v>300</v>
      </c>
      <c r="B130" s="389"/>
      <c r="C130" s="390"/>
      <c r="D130" s="390"/>
      <c r="E130" s="391"/>
      <c r="F130" s="392"/>
      <c r="G130" s="392"/>
      <c r="H130" s="392"/>
      <c r="I130" s="392"/>
      <c r="J130" s="392"/>
      <c r="K130" s="392"/>
      <c r="L130" s="392"/>
      <c r="M130" s="367"/>
      <c r="N130" s="367"/>
      <c r="O130" s="367"/>
      <c r="P130" s="367"/>
      <c r="Q130" s="367"/>
      <c r="R130" s="367"/>
      <c r="S130" s="367"/>
      <c r="T130" s="367"/>
      <c r="U130" s="367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372" t="s">
        <v>321</v>
      </c>
      <c r="W131" s="373"/>
    </row>
    <row r="132" spans="1:22" s="15" customFormat="1" ht="15" customHeight="1">
      <c r="A132" s="384" t="s">
        <v>23</v>
      </c>
      <c r="B132" s="384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396" t="s">
        <v>302</v>
      </c>
      <c r="B133" s="396"/>
      <c r="C133" s="396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270" t="s">
        <v>181</v>
      </c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2"/>
      <c r="V134" s="88"/>
    </row>
    <row r="135" spans="1:22" s="20" customFormat="1" ht="13.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3.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3.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3.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3.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3.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3.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3.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3.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3.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3.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3.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3.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3.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3.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3.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3.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3.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3.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3.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3.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3.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3.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3.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3.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3.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3.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3.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3.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3.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3.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3.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3.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3.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3.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3.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3.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3.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3.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3.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3.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3.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3.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3.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3.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3.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3.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3.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3.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3.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3.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3.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3.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3.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3.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3.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3.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3.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3.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3.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3.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3.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3.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3.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3.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3.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3.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3.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3.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3.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3.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3.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3.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3.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3.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3.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3.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3.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3.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3.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3.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3.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3.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3.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3.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3.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3.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27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3.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3.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3.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3.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3.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370" t="s">
        <v>23</v>
      </c>
      <c r="B231" s="371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270" t="s">
        <v>180</v>
      </c>
      <c r="B232" s="271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2"/>
      <c r="V232" s="88"/>
    </row>
    <row r="233" spans="1:22" ht="13.5">
      <c r="A233" s="273" t="s">
        <v>41</v>
      </c>
      <c r="B233" s="274"/>
      <c r="C233" s="274"/>
      <c r="D233" s="274"/>
      <c r="E233" s="275"/>
      <c r="F233" s="267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9"/>
      <c r="V233" s="91"/>
    </row>
    <row r="234" spans="1:22" ht="13.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3.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368" t="s">
        <v>23</v>
      </c>
      <c r="B236" s="369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370" t="s">
        <v>42</v>
      </c>
      <c r="B237" s="371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3.5">
      <c r="A238" s="273" t="s">
        <v>43</v>
      </c>
      <c r="B238" s="275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3.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3.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3.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3.5">
      <c r="A242" s="101" t="e">
        <f>A235-#REF!-'2017'!A78</f>
        <v>#REF!</v>
      </c>
      <c r="B242" s="101"/>
      <c r="C242" s="101"/>
      <c r="D242" s="101"/>
      <c r="E242" s="101"/>
      <c r="F242" s="101"/>
      <c r="G242" s="101"/>
      <c r="H242" s="101" t="e">
        <f>H238-#REF!-'2017'!H81</f>
        <v>#REF!</v>
      </c>
      <c r="I242" s="101"/>
      <c r="J242" s="101"/>
      <c r="K242" s="101"/>
      <c r="L242" s="101"/>
      <c r="M242" s="101" t="e">
        <f>M238-#REF!-'2017'!M81</f>
        <v>#REF!</v>
      </c>
      <c r="N242" s="101"/>
      <c r="O242" s="101"/>
      <c r="P242" s="101"/>
      <c r="Q242" s="101"/>
      <c r="R242" s="101" t="e">
        <f>R238-#REF!-'2017'!R81</f>
        <v>#REF!</v>
      </c>
      <c r="S242" s="101" t="e">
        <f>S238-#REF!-'2017'!S81</f>
        <v>#REF!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30:E130"/>
    <mergeCell ref="F130:U130"/>
    <mergeCell ref="A110:C110"/>
    <mergeCell ref="A111:U111"/>
    <mergeCell ref="A112:E112"/>
    <mergeCell ref="F112:U112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55:B55"/>
    <mergeCell ref="A80:B80"/>
    <mergeCell ref="A81:B81"/>
    <mergeCell ref="V59:W59"/>
    <mergeCell ref="A60:B60"/>
    <mergeCell ref="A61:B61"/>
    <mergeCell ref="A62:U62"/>
    <mergeCell ref="A63:E63"/>
    <mergeCell ref="F63:U63"/>
    <mergeCell ref="F15:U15"/>
    <mergeCell ref="A19:B19"/>
    <mergeCell ref="A23:B23"/>
    <mergeCell ref="A24:B24"/>
    <mergeCell ref="A25:U25"/>
    <mergeCell ref="A26:E26"/>
    <mergeCell ref="F26:U26"/>
    <mergeCell ref="T5:T9"/>
    <mergeCell ref="R7:R8"/>
    <mergeCell ref="S7:S8"/>
    <mergeCell ref="J5:K5"/>
    <mergeCell ref="A20:E20"/>
    <mergeCell ref="F20:U20"/>
    <mergeCell ref="A11:U11"/>
    <mergeCell ref="A12:U12"/>
    <mergeCell ref="A14:B14"/>
    <mergeCell ref="A15:E15"/>
    <mergeCell ref="F5:F9"/>
    <mergeCell ref="G5:G9"/>
    <mergeCell ref="I5:I8"/>
    <mergeCell ref="Q7:Q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A2:T2"/>
    <mergeCell ref="D3:S3"/>
    <mergeCell ref="A5:A9"/>
    <mergeCell ref="B5:B9"/>
    <mergeCell ref="C5:D5"/>
    <mergeCell ref="E5:E9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357" t="s">
        <v>259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1"/>
      <c r="V2" s="1"/>
      <c r="W2" s="1"/>
    </row>
    <row r="3" spans="1:23" s="2" customFormat="1" ht="18" customHeight="1">
      <c r="A3" s="1"/>
      <c r="B3" s="1"/>
      <c r="C3" s="1"/>
      <c r="D3" s="277" t="s">
        <v>260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297" t="s">
        <v>1</v>
      </c>
      <c r="B5" s="297" t="s">
        <v>0</v>
      </c>
      <c r="C5" s="265" t="s">
        <v>2</v>
      </c>
      <c r="D5" s="265"/>
      <c r="E5" s="280" t="s">
        <v>3</v>
      </c>
      <c r="F5" s="280" t="s">
        <v>4</v>
      </c>
      <c r="G5" s="280" t="s">
        <v>5</v>
      </c>
      <c r="H5" s="393" t="s">
        <v>257</v>
      </c>
      <c r="I5" s="347" t="s">
        <v>6</v>
      </c>
      <c r="J5" s="297" t="s">
        <v>7</v>
      </c>
      <c r="K5" s="297"/>
      <c r="L5" s="347" t="s">
        <v>8</v>
      </c>
      <c r="M5" s="397" t="s">
        <v>315</v>
      </c>
      <c r="N5" s="397" t="s">
        <v>316</v>
      </c>
      <c r="O5" s="407" t="s">
        <v>258</v>
      </c>
      <c r="P5" s="408"/>
      <c r="Q5" s="408"/>
      <c r="R5" s="408"/>
      <c r="S5" s="409"/>
      <c r="T5" s="413" t="s">
        <v>9</v>
      </c>
      <c r="U5" s="296" t="s">
        <v>10</v>
      </c>
      <c r="V5" s="86"/>
      <c r="W5" s="86"/>
    </row>
    <row r="6" spans="1:23" s="2" customFormat="1" ht="18" customHeight="1">
      <c r="A6" s="297"/>
      <c r="B6" s="297"/>
      <c r="C6" s="296" t="s">
        <v>11</v>
      </c>
      <c r="D6" s="296" t="s">
        <v>12</v>
      </c>
      <c r="E6" s="280"/>
      <c r="F6" s="280"/>
      <c r="G6" s="280"/>
      <c r="H6" s="394"/>
      <c r="I6" s="348"/>
      <c r="J6" s="347" t="s">
        <v>13</v>
      </c>
      <c r="K6" s="347" t="s">
        <v>14</v>
      </c>
      <c r="L6" s="348"/>
      <c r="M6" s="398"/>
      <c r="N6" s="398"/>
      <c r="O6" s="410"/>
      <c r="P6" s="411"/>
      <c r="Q6" s="411"/>
      <c r="R6" s="411"/>
      <c r="S6" s="412"/>
      <c r="T6" s="413"/>
      <c r="U6" s="296"/>
      <c r="V6" s="86"/>
      <c r="W6" s="86"/>
    </row>
    <row r="7" spans="1:23" s="2" customFormat="1" ht="18" customHeight="1">
      <c r="A7" s="297"/>
      <c r="B7" s="297"/>
      <c r="C7" s="296"/>
      <c r="D7" s="296"/>
      <c r="E7" s="280"/>
      <c r="F7" s="280"/>
      <c r="G7" s="280"/>
      <c r="H7" s="394"/>
      <c r="I7" s="348"/>
      <c r="J7" s="348"/>
      <c r="K7" s="348"/>
      <c r="L7" s="348"/>
      <c r="M7" s="398"/>
      <c r="N7" s="398"/>
      <c r="O7" s="403">
        <v>2018</v>
      </c>
      <c r="P7" s="404"/>
      <c r="Q7" s="400">
        <v>2019</v>
      </c>
      <c r="R7" s="400">
        <v>2020</v>
      </c>
      <c r="S7" s="400">
        <v>2021</v>
      </c>
      <c r="T7" s="413"/>
      <c r="U7" s="296"/>
      <c r="V7" s="86"/>
      <c r="W7" s="86"/>
    </row>
    <row r="8" spans="1:23" s="2" customFormat="1" ht="18" customHeight="1">
      <c r="A8" s="297"/>
      <c r="B8" s="297"/>
      <c r="C8" s="296"/>
      <c r="D8" s="296"/>
      <c r="E8" s="280"/>
      <c r="F8" s="280"/>
      <c r="G8" s="280"/>
      <c r="H8" s="394"/>
      <c r="I8" s="349"/>
      <c r="J8" s="349"/>
      <c r="K8" s="349"/>
      <c r="L8" s="349"/>
      <c r="M8" s="402"/>
      <c r="N8" s="399"/>
      <c r="O8" s="405"/>
      <c r="P8" s="406"/>
      <c r="Q8" s="401"/>
      <c r="R8" s="401"/>
      <c r="S8" s="401"/>
      <c r="T8" s="413"/>
      <c r="U8" s="296"/>
      <c r="V8" s="86"/>
      <c r="W8" s="86"/>
    </row>
    <row r="9" spans="1:23" s="2" customFormat="1" ht="42" customHeight="1">
      <c r="A9" s="297"/>
      <c r="B9" s="297"/>
      <c r="C9" s="296"/>
      <c r="D9" s="296"/>
      <c r="E9" s="280"/>
      <c r="F9" s="280"/>
      <c r="G9" s="280"/>
      <c r="H9" s="395"/>
      <c r="I9" s="75" t="s">
        <v>15</v>
      </c>
      <c r="J9" s="75" t="s">
        <v>15</v>
      </c>
      <c r="K9" s="75" t="s">
        <v>15</v>
      </c>
      <c r="L9" s="75" t="s">
        <v>16</v>
      </c>
      <c r="M9" s="105" t="s">
        <v>17</v>
      </c>
      <c r="N9" s="105" t="s">
        <v>17</v>
      </c>
      <c r="O9" s="106" t="s">
        <v>325</v>
      </c>
      <c r="P9" s="105" t="s">
        <v>317</v>
      </c>
      <c r="Q9" s="105" t="s">
        <v>17</v>
      </c>
      <c r="R9" s="105" t="s">
        <v>17</v>
      </c>
      <c r="S9" s="105" t="s">
        <v>17</v>
      </c>
      <c r="T9" s="413"/>
      <c r="U9" s="296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7">
        <v>13</v>
      </c>
      <c r="N10" s="107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  <c r="U10" s="76">
        <v>21</v>
      </c>
      <c r="V10" s="87"/>
      <c r="W10" s="87"/>
    </row>
    <row r="11" spans="1:23" s="3" customFormat="1" ht="18" customHeight="1">
      <c r="A11" s="295" t="s">
        <v>24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88"/>
      <c r="W11" s="88"/>
    </row>
    <row r="12" spans="1:23" ht="18" customHeight="1">
      <c r="A12" s="273" t="s">
        <v>45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5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8">
        <v>14714735.77</v>
      </c>
      <c r="N13" s="108">
        <v>475683.11</v>
      </c>
      <c r="O13" s="108">
        <f>M13*30/100</f>
        <v>4414420.731</v>
      </c>
      <c r="P13" s="108">
        <f>N13</f>
        <v>475683.11</v>
      </c>
      <c r="Q13" s="108">
        <f>(M13-O13)/3</f>
        <v>3433438.3463333338</v>
      </c>
      <c r="R13" s="108">
        <f>Q13</f>
        <v>3433438.3463333338</v>
      </c>
      <c r="S13" s="108">
        <f>R13</f>
        <v>3433438.3463333338</v>
      </c>
      <c r="T13" s="108">
        <v>43829</v>
      </c>
      <c r="U13" s="24" t="s">
        <v>184</v>
      </c>
      <c r="V13" s="116">
        <f>M13+N13-O13-P13-Q13-R13-S13</f>
        <v>0</v>
      </c>
      <c r="W13" s="90"/>
      <c r="X13" s="84" t="s">
        <v>318</v>
      </c>
    </row>
    <row r="14" spans="1:23" ht="18" customHeight="1">
      <c r="A14" s="368" t="s">
        <v>23</v>
      </c>
      <c r="B14" s="369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9">
        <f t="shared" si="0"/>
        <v>14714735.77</v>
      </c>
      <c r="N14" s="109">
        <f t="shared" si="0"/>
        <v>475683.11</v>
      </c>
      <c r="O14" s="109">
        <f t="shared" si="0"/>
        <v>4414420.731</v>
      </c>
      <c r="P14" s="109">
        <f t="shared" si="0"/>
        <v>475683.11</v>
      </c>
      <c r="Q14" s="109">
        <f t="shared" si="0"/>
        <v>3433438.3463333338</v>
      </c>
      <c r="R14" s="109">
        <f t="shared" si="0"/>
        <v>3433438.3463333338</v>
      </c>
      <c r="S14" s="109">
        <f t="shared" si="0"/>
        <v>3433438.3463333338</v>
      </c>
      <c r="T14" s="109" t="s">
        <v>261</v>
      </c>
      <c r="U14" s="6" t="s">
        <v>261</v>
      </c>
      <c r="V14" s="116">
        <f aca="true" t="shared" si="1" ref="V14:V77">M14+N14-O14-P14-Q14-R14-S14</f>
        <v>0</v>
      </c>
      <c r="W14" s="91"/>
    </row>
    <row r="15" spans="1:23" ht="18" customHeight="1">
      <c r="A15" s="273" t="s">
        <v>47</v>
      </c>
      <c r="B15" s="274"/>
      <c r="C15" s="274"/>
      <c r="D15" s="274"/>
      <c r="E15" s="275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9"/>
      <c r="V15" s="11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8">
        <v>10374481.16</v>
      </c>
      <c r="N16" s="108">
        <v>297600.8</v>
      </c>
      <c r="O16" s="108">
        <f>M16*30/100</f>
        <v>3112344.348</v>
      </c>
      <c r="P16" s="108">
        <f>N16</f>
        <v>297600.8</v>
      </c>
      <c r="Q16" s="108">
        <f>(M16-O16)/3</f>
        <v>2420712.270666667</v>
      </c>
      <c r="R16" s="108">
        <f aca="true" t="shared" si="2" ref="R16:S19">Q16</f>
        <v>2420712.270666667</v>
      </c>
      <c r="S16" s="108">
        <f t="shared" si="2"/>
        <v>2420712.270666667</v>
      </c>
      <c r="T16" s="108">
        <v>43829</v>
      </c>
      <c r="U16" s="24" t="s">
        <v>184</v>
      </c>
      <c r="V16" s="11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8">
        <f>2158425.19</f>
        <v>2158425.19</v>
      </c>
      <c r="N17" s="108">
        <v>67954.73</v>
      </c>
      <c r="O17" s="108">
        <f>M17*30/100</f>
        <v>647527.5569999999</v>
      </c>
      <c r="P17" s="108">
        <f>N17</f>
        <v>67954.73</v>
      </c>
      <c r="Q17" s="108">
        <f>(M17-O17)/3</f>
        <v>503632.5443333333</v>
      </c>
      <c r="R17" s="108">
        <f t="shared" si="2"/>
        <v>503632.5443333333</v>
      </c>
      <c r="S17" s="108">
        <f t="shared" si="2"/>
        <v>503632.5443333333</v>
      </c>
      <c r="T17" s="108">
        <v>43829</v>
      </c>
      <c r="U17" s="24" t="s">
        <v>184</v>
      </c>
      <c r="V17" s="11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8">
        <f>2173380.24</f>
        <v>2173380.24</v>
      </c>
      <c r="N18" s="108">
        <v>67954.73</v>
      </c>
      <c r="O18" s="108">
        <f>M18*30/100</f>
        <v>652014.072</v>
      </c>
      <c r="P18" s="108">
        <f>N18</f>
        <v>67954.73</v>
      </c>
      <c r="Q18" s="108">
        <f>(M18-O18)/3</f>
        <v>507122.05600000004</v>
      </c>
      <c r="R18" s="108">
        <f t="shared" si="2"/>
        <v>507122.05600000004</v>
      </c>
      <c r="S18" s="108">
        <f t="shared" si="2"/>
        <v>507122.05600000004</v>
      </c>
      <c r="T18" s="108">
        <v>43829</v>
      </c>
      <c r="U18" s="24" t="s">
        <v>184</v>
      </c>
      <c r="V18" s="116">
        <f t="shared" si="1"/>
        <v>0</v>
      </c>
      <c r="W18" s="90"/>
      <c r="X18" s="84" t="s">
        <v>318</v>
      </c>
    </row>
    <row r="19" spans="1:23" ht="18" customHeight="1">
      <c r="A19" s="368" t="s">
        <v>23</v>
      </c>
      <c r="B19" s="369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9">
        <f>SUM(M16:M18)</f>
        <v>14706286.59</v>
      </c>
      <c r="N19" s="109">
        <f>SUM(N16:N18)</f>
        <v>433510.25999999995</v>
      </c>
      <c r="O19" s="109">
        <f>M19*30/100</f>
        <v>4411885.977</v>
      </c>
      <c r="P19" s="109">
        <f>SUM(P16:P18)</f>
        <v>433510.25999999995</v>
      </c>
      <c r="Q19" s="109">
        <f>(M19-O19)/3</f>
        <v>3431466.871</v>
      </c>
      <c r="R19" s="109">
        <f t="shared" si="2"/>
        <v>3431466.871</v>
      </c>
      <c r="S19" s="109">
        <f t="shared" si="2"/>
        <v>3431466.871</v>
      </c>
      <c r="T19" s="109">
        <v>43829</v>
      </c>
      <c r="U19" s="6" t="s">
        <v>261</v>
      </c>
      <c r="V19" s="116">
        <f t="shared" si="1"/>
        <v>0</v>
      </c>
      <c r="W19" s="91"/>
    </row>
    <row r="20" spans="1:23" ht="18" customHeight="1">
      <c r="A20" s="364" t="s">
        <v>262</v>
      </c>
      <c r="B20" s="365"/>
      <c r="C20" s="365"/>
      <c r="D20" s="365"/>
      <c r="E20" s="366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11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0">
        <v>16698608.339999998</v>
      </c>
      <c r="N21" s="110">
        <v>465740.1</v>
      </c>
      <c r="O21" s="110">
        <f>M21*30/100</f>
        <v>5009582.501999999</v>
      </c>
      <c r="P21" s="108">
        <f>N21</f>
        <v>465740.1</v>
      </c>
      <c r="Q21" s="110">
        <f>(M21-O21)/3</f>
        <v>3896341.946</v>
      </c>
      <c r="R21" s="110">
        <f>Q21</f>
        <v>3896341.946</v>
      </c>
      <c r="S21" s="110">
        <f>R21</f>
        <v>3896341.946</v>
      </c>
      <c r="T21" s="110">
        <v>43829</v>
      </c>
      <c r="U21" s="36" t="s">
        <v>184</v>
      </c>
      <c r="V21" s="116">
        <f t="shared" si="1"/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0">
        <v>16698608.339999998</v>
      </c>
      <c r="N22" s="110">
        <v>465740.1</v>
      </c>
      <c r="O22" s="110">
        <f>M22*30/100</f>
        <v>5009582.501999999</v>
      </c>
      <c r="P22" s="108">
        <f>N22</f>
        <v>465740.1</v>
      </c>
      <c r="Q22" s="110">
        <f>(M22-O22)/3</f>
        <v>3896341.946</v>
      </c>
      <c r="R22" s="110">
        <f>Q22</f>
        <v>3896341.946</v>
      </c>
      <c r="S22" s="110">
        <f>R22</f>
        <v>3896341.946</v>
      </c>
      <c r="T22" s="110">
        <v>43829</v>
      </c>
      <c r="U22" s="36" t="s">
        <v>184</v>
      </c>
      <c r="V22" s="116">
        <f t="shared" si="1"/>
        <v>0</v>
      </c>
      <c r="W22" s="100"/>
    </row>
    <row r="23" spans="1:23" ht="18" customHeight="1">
      <c r="A23" s="368" t="s">
        <v>23</v>
      </c>
      <c r="B23" s="369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9">
        <f>SUM(M21:M22)</f>
        <v>33397216.679999996</v>
      </c>
      <c r="N23" s="109">
        <f aca="true" t="shared" si="3" ref="N23:S23">SUM(N21:N22)</f>
        <v>931480.2</v>
      </c>
      <c r="O23" s="109">
        <f t="shared" si="3"/>
        <v>10019165.003999999</v>
      </c>
      <c r="P23" s="109">
        <f t="shared" si="3"/>
        <v>931480.2</v>
      </c>
      <c r="Q23" s="109">
        <f t="shared" si="3"/>
        <v>7792683.892</v>
      </c>
      <c r="R23" s="109">
        <f t="shared" si="3"/>
        <v>7792683.892</v>
      </c>
      <c r="S23" s="109">
        <f t="shared" si="3"/>
        <v>7792683.892</v>
      </c>
      <c r="T23" s="105" t="s">
        <v>261</v>
      </c>
      <c r="U23" s="67" t="s">
        <v>261</v>
      </c>
      <c r="V23" s="116">
        <f t="shared" si="1"/>
        <v>0</v>
      </c>
      <c r="W23" s="93"/>
    </row>
    <row r="24" spans="1:29" s="15" customFormat="1" ht="18" customHeight="1">
      <c r="A24" s="370" t="s">
        <v>25</v>
      </c>
      <c r="B24" s="37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1">
        <f>M23+M19+M14</f>
        <v>62818239.03999999</v>
      </c>
      <c r="N24" s="111">
        <f aca="true" t="shared" si="4" ref="N24:S24">N23+N19+N14</f>
        <v>1840673.5699999998</v>
      </c>
      <c r="O24" s="111">
        <f t="shared" si="4"/>
        <v>18845471.711999997</v>
      </c>
      <c r="P24" s="111">
        <f t="shared" si="4"/>
        <v>1840673.5699999998</v>
      </c>
      <c r="Q24" s="111">
        <f t="shared" si="4"/>
        <v>14657589.109333334</v>
      </c>
      <c r="R24" s="111">
        <f t="shared" si="4"/>
        <v>14657589.109333334</v>
      </c>
      <c r="S24" s="111">
        <f t="shared" si="4"/>
        <v>14657589.109333334</v>
      </c>
      <c r="T24" s="111" t="s">
        <v>261</v>
      </c>
      <c r="U24" s="12" t="s">
        <v>261</v>
      </c>
      <c r="V24" s="116" t="e">
        <f>M24-'2017'!M15-#REF!</f>
        <v>#REF!</v>
      </c>
      <c r="W24" s="116" t="e">
        <f>N24-'2017'!N15-#REF!</f>
        <v>#REF!</v>
      </c>
      <c r="X24" s="116" t="e">
        <f>O24-'2017'!O15-#REF!</f>
        <v>#REF!</v>
      </c>
      <c r="Y24" s="116" t="e">
        <f>P24-'2017'!P15-#REF!</f>
        <v>#REF!</v>
      </c>
      <c r="Z24" s="116" t="e">
        <f>Q24-'2017'!Q15-#REF!</f>
        <v>#REF!</v>
      </c>
      <c r="AA24" s="116" t="e">
        <f>T24-'2017'!T15-#REF!</f>
        <v>#VALUE!</v>
      </c>
      <c r="AB24" s="116" t="e">
        <f>U24-'2017'!U15-#REF!</f>
        <v>#VALUE!</v>
      </c>
      <c r="AC24" s="116" t="e">
        <f>V24-'2017'!V15-#REF!</f>
        <v>#REF!</v>
      </c>
    </row>
    <row r="25" spans="1:23" ht="18" customHeight="1">
      <c r="A25" s="270" t="s">
        <v>256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2"/>
      <c r="V25" s="116">
        <f t="shared" si="1"/>
        <v>0</v>
      </c>
      <c r="W25" s="88"/>
    </row>
    <row r="26" spans="1:23" ht="18" customHeight="1">
      <c r="A26" s="273" t="s">
        <v>26</v>
      </c>
      <c r="B26" s="274"/>
      <c r="C26" s="274"/>
      <c r="D26" s="274"/>
      <c r="E26" s="275"/>
      <c r="F26" s="267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9"/>
      <c r="V26" s="11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0">
        <v>3249638.58</v>
      </c>
      <c r="N27" s="110">
        <v>61029.6</v>
      </c>
      <c r="O27" s="110">
        <f>M27*30/100</f>
        <v>974891.574</v>
      </c>
      <c r="P27" s="108">
        <f>N27</f>
        <v>61029.6</v>
      </c>
      <c r="Q27" s="110">
        <f aca="true" t="shared" si="5" ref="Q27:Q58">(M27-O27)/3</f>
        <v>758249.002</v>
      </c>
      <c r="R27" s="110">
        <f aca="true" t="shared" si="6" ref="R27:S58">Q27</f>
        <v>758249.002</v>
      </c>
      <c r="S27" s="110">
        <f t="shared" si="6"/>
        <v>758249.002</v>
      </c>
      <c r="T27" s="110">
        <v>43829</v>
      </c>
      <c r="U27" s="36" t="s">
        <v>184</v>
      </c>
      <c r="V27" s="116">
        <f t="shared" si="1"/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0">
        <v>2421558.24</v>
      </c>
      <c r="N28" s="110">
        <v>66534.3</v>
      </c>
      <c r="O28" s="110">
        <f>M28*30/100</f>
        <v>726467.4720000001</v>
      </c>
      <c r="P28" s="108">
        <f aca="true" t="shared" si="7" ref="P28:P54">N28</f>
        <v>66534.3</v>
      </c>
      <c r="Q28" s="110">
        <f t="shared" si="5"/>
        <v>565030.256</v>
      </c>
      <c r="R28" s="110">
        <f t="shared" si="6"/>
        <v>565030.256</v>
      </c>
      <c r="S28" s="110">
        <f t="shared" si="6"/>
        <v>565030.256</v>
      </c>
      <c r="T28" s="110">
        <v>43829</v>
      </c>
      <c r="U28" s="36" t="s">
        <v>184</v>
      </c>
      <c r="V28" s="116">
        <f t="shared" si="1"/>
        <v>0</v>
      </c>
      <c r="W28" s="100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8">
        <v>4264610.86</v>
      </c>
      <c r="N29" s="108">
        <v>141532.5</v>
      </c>
      <c r="O29" s="108">
        <f>M29*30/100</f>
        <v>1279383.2580000001</v>
      </c>
      <c r="P29" s="108">
        <f t="shared" si="7"/>
        <v>141532.5</v>
      </c>
      <c r="Q29" s="108">
        <f t="shared" si="5"/>
        <v>995075.8673333334</v>
      </c>
      <c r="R29" s="108">
        <f t="shared" si="6"/>
        <v>995075.8673333334</v>
      </c>
      <c r="S29" s="108">
        <f t="shared" si="6"/>
        <v>995075.8673333334</v>
      </c>
      <c r="T29" s="108">
        <v>43829</v>
      </c>
      <c r="U29" s="24" t="s">
        <v>184</v>
      </c>
      <c r="V29" s="11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8">
        <v>5372847.39</v>
      </c>
      <c r="N30" s="108">
        <v>141532.5</v>
      </c>
      <c r="O30" s="108">
        <f aca="true" t="shared" si="9" ref="O30:O58">M30*30/100</f>
        <v>1611854.217</v>
      </c>
      <c r="P30" s="108">
        <f t="shared" si="7"/>
        <v>141532.5</v>
      </c>
      <c r="Q30" s="108">
        <f t="shared" si="5"/>
        <v>1253664.3909999998</v>
      </c>
      <c r="R30" s="108">
        <f t="shared" si="6"/>
        <v>1253664.3909999998</v>
      </c>
      <c r="S30" s="108">
        <f t="shared" si="6"/>
        <v>1253664.3909999998</v>
      </c>
      <c r="T30" s="108">
        <v>43829</v>
      </c>
      <c r="U30" s="24" t="s">
        <v>184</v>
      </c>
      <c r="V30" s="11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8">
        <v>11712390.83</v>
      </c>
      <c r="N31" s="108">
        <v>348207.88</v>
      </c>
      <c r="O31" s="108">
        <f t="shared" si="9"/>
        <v>3513717.249</v>
      </c>
      <c r="P31" s="108">
        <f t="shared" si="7"/>
        <v>348207.88</v>
      </c>
      <c r="Q31" s="108">
        <f t="shared" si="5"/>
        <v>2732891.1936666667</v>
      </c>
      <c r="R31" s="108">
        <f t="shared" si="6"/>
        <v>2732891.1936666667</v>
      </c>
      <c r="S31" s="108">
        <f t="shared" si="6"/>
        <v>2732891.1936666667</v>
      </c>
      <c r="T31" s="108">
        <v>43829</v>
      </c>
      <c r="U31" s="24" t="s">
        <v>184</v>
      </c>
      <c r="V31" s="11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8">
        <v>8476810.51</v>
      </c>
      <c r="N32" s="108">
        <v>178560.48</v>
      </c>
      <c r="O32" s="108">
        <f t="shared" si="9"/>
        <v>2543043.153</v>
      </c>
      <c r="P32" s="108">
        <f t="shared" si="7"/>
        <v>178560.48</v>
      </c>
      <c r="Q32" s="108">
        <f t="shared" si="5"/>
        <v>1977922.4523333332</v>
      </c>
      <c r="R32" s="108">
        <f t="shared" si="6"/>
        <v>1977922.4523333332</v>
      </c>
      <c r="S32" s="108">
        <f t="shared" si="6"/>
        <v>1977922.4523333332</v>
      </c>
      <c r="T32" s="108">
        <v>43829</v>
      </c>
      <c r="U32" s="24" t="s">
        <v>184</v>
      </c>
      <c r="V32" s="11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8">
        <v>2834967.65</v>
      </c>
      <c r="N33" s="108">
        <v>62331.67</v>
      </c>
      <c r="O33" s="108">
        <f t="shared" si="9"/>
        <v>850490.295</v>
      </c>
      <c r="P33" s="108">
        <f t="shared" si="7"/>
        <v>62331.67</v>
      </c>
      <c r="Q33" s="108">
        <f t="shared" si="5"/>
        <v>661492.4516666667</v>
      </c>
      <c r="R33" s="108">
        <f t="shared" si="6"/>
        <v>661492.4516666667</v>
      </c>
      <c r="S33" s="108">
        <f t="shared" si="6"/>
        <v>661492.4516666667</v>
      </c>
      <c r="T33" s="108">
        <v>43829</v>
      </c>
      <c r="U33" s="24" t="s">
        <v>184</v>
      </c>
      <c r="V33" s="11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8">
        <v>2114073.43</v>
      </c>
      <c r="N34" s="108">
        <v>67954.73</v>
      </c>
      <c r="O34" s="108">
        <f t="shared" si="9"/>
        <v>634222.0290000001</v>
      </c>
      <c r="P34" s="108">
        <f t="shared" si="7"/>
        <v>67954.73</v>
      </c>
      <c r="Q34" s="108">
        <f t="shared" si="5"/>
        <v>493283.8003333334</v>
      </c>
      <c r="R34" s="108">
        <f t="shared" si="6"/>
        <v>493283.8003333334</v>
      </c>
      <c r="S34" s="108">
        <f t="shared" si="6"/>
        <v>493283.8003333334</v>
      </c>
      <c r="T34" s="108">
        <v>43829</v>
      </c>
      <c r="U34" s="24" t="s">
        <v>184</v>
      </c>
      <c r="V34" s="11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8">
        <v>4153483.33</v>
      </c>
      <c r="N35" s="108">
        <v>135909.46</v>
      </c>
      <c r="O35" s="108">
        <f t="shared" si="9"/>
        <v>1246044.999</v>
      </c>
      <c r="P35" s="108">
        <f t="shared" si="7"/>
        <v>135909.46</v>
      </c>
      <c r="Q35" s="108">
        <f t="shared" si="5"/>
        <v>969146.1103333334</v>
      </c>
      <c r="R35" s="108">
        <f t="shared" si="6"/>
        <v>969146.1103333334</v>
      </c>
      <c r="S35" s="108">
        <f t="shared" si="6"/>
        <v>969146.1103333334</v>
      </c>
      <c r="T35" s="108">
        <v>43829</v>
      </c>
      <c r="U35" s="24" t="s">
        <v>184</v>
      </c>
      <c r="V35" s="11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8">
        <v>4153483.33</v>
      </c>
      <c r="N36" s="108">
        <v>135909.46</v>
      </c>
      <c r="O36" s="108">
        <f t="shared" si="9"/>
        <v>1246044.999</v>
      </c>
      <c r="P36" s="108">
        <f t="shared" si="7"/>
        <v>135909.46</v>
      </c>
      <c r="Q36" s="108">
        <f t="shared" si="5"/>
        <v>969146.1103333334</v>
      </c>
      <c r="R36" s="108">
        <f t="shared" si="6"/>
        <v>969146.1103333334</v>
      </c>
      <c r="S36" s="108">
        <f t="shared" si="6"/>
        <v>969146.1103333334</v>
      </c>
      <c r="T36" s="108">
        <v>43829</v>
      </c>
      <c r="U36" s="24" t="s">
        <v>184</v>
      </c>
      <c r="V36" s="11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8">
        <v>6208034.49</v>
      </c>
      <c r="N37" s="108">
        <f>SUM(T36:T38)</f>
        <v>131487</v>
      </c>
      <c r="O37" s="108">
        <f t="shared" si="9"/>
        <v>1862410.347</v>
      </c>
      <c r="P37" s="108">
        <f t="shared" si="7"/>
        <v>131487</v>
      </c>
      <c r="Q37" s="108">
        <f t="shared" si="5"/>
        <v>1448541.381</v>
      </c>
      <c r="R37" s="108">
        <f t="shared" si="6"/>
        <v>1448541.381</v>
      </c>
      <c r="S37" s="108">
        <f t="shared" si="6"/>
        <v>1448541.381</v>
      </c>
      <c r="T37" s="108">
        <v>43829</v>
      </c>
      <c r="U37" s="24" t="s">
        <v>184</v>
      </c>
      <c r="V37" s="11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8">
        <v>4105584.58</v>
      </c>
      <c r="N38" s="108">
        <v>130286.4</v>
      </c>
      <c r="O38" s="108">
        <f t="shared" si="9"/>
        <v>1231675.374</v>
      </c>
      <c r="P38" s="108">
        <f t="shared" si="7"/>
        <v>130286.4</v>
      </c>
      <c r="Q38" s="108">
        <f t="shared" si="5"/>
        <v>957969.7353333334</v>
      </c>
      <c r="R38" s="108">
        <f t="shared" si="6"/>
        <v>957969.7353333334</v>
      </c>
      <c r="S38" s="108">
        <f t="shared" si="6"/>
        <v>957969.7353333334</v>
      </c>
      <c r="T38" s="108">
        <v>43829</v>
      </c>
      <c r="U38" s="24" t="s">
        <v>184</v>
      </c>
      <c r="V38" s="11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8">
        <v>4098963.52</v>
      </c>
      <c r="N39" s="108">
        <v>130286.4</v>
      </c>
      <c r="O39" s="108">
        <f t="shared" si="9"/>
        <v>1229689.0559999999</v>
      </c>
      <c r="P39" s="108">
        <f t="shared" si="7"/>
        <v>130286.4</v>
      </c>
      <c r="Q39" s="108">
        <f t="shared" si="5"/>
        <v>956424.8213333334</v>
      </c>
      <c r="R39" s="108">
        <f t="shared" si="6"/>
        <v>956424.8213333334</v>
      </c>
      <c r="S39" s="108">
        <f t="shared" si="6"/>
        <v>956424.8213333334</v>
      </c>
      <c r="T39" s="108">
        <v>43829</v>
      </c>
      <c r="U39" s="24" t="s">
        <v>184</v>
      </c>
      <c r="V39" s="11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8">
        <v>4108023.93</v>
      </c>
      <c r="N40" s="108">
        <v>130286.4</v>
      </c>
      <c r="O40" s="108">
        <f t="shared" si="9"/>
        <v>1232407.179</v>
      </c>
      <c r="P40" s="108">
        <f t="shared" si="7"/>
        <v>130286.4</v>
      </c>
      <c r="Q40" s="108">
        <f t="shared" si="5"/>
        <v>958538.917</v>
      </c>
      <c r="R40" s="108">
        <f t="shared" si="6"/>
        <v>958538.917</v>
      </c>
      <c r="S40" s="108">
        <f t="shared" si="6"/>
        <v>958538.917</v>
      </c>
      <c r="T40" s="108">
        <v>43829</v>
      </c>
      <c r="U40" s="24" t="s">
        <v>184</v>
      </c>
      <c r="V40" s="11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8">
        <v>6750207.7</v>
      </c>
      <c r="N41" s="108">
        <v>203596.02</v>
      </c>
      <c r="O41" s="108">
        <f t="shared" si="9"/>
        <v>2025062.31</v>
      </c>
      <c r="P41" s="108">
        <f t="shared" si="7"/>
        <v>203596.02</v>
      </c>
      <c r="Q41" s="108">
        <f t="shared" si="5"/>
        <v>1575048.4633333336</v>
      </c>
      <c r="R41" s="108">
        <f t="shared" si="6"/>
        <v>1575048.4633333336</v>
      </c>
      <c r="S41" s="108">
        <f t="shared" si="6"/>
        <v>1575048.4633333336</v>
      </c>
      <c r="T41" s="108">
        <v>43829</v>
      </c>
      <c r="U41" s="24" t="s">
        <v>184</v>
      </c>
      <c r="V41" s="11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8">
        <v>10355055.78</v>
      </c>
      <c r="N42" s="108">
        <v>260232.48</v>
      </c>
      <c r="O42" s="108">
        <f t="shared" si="9"/>
        <v>3106516.7339999997</v>
      </c>
      <c r="P42" s="108">
        <f t="shared" si="7"/>
        <v>260232.48</v>
      </c>
      <c r="Q42" s="108">
        <f t="shared" si="5"/>
        <v>2416179.682</v>
      </c>
      <c r="R42" s="108">
        <f t="shared" si="6"/>
        <v>2416179.682</v>
      </c>
      <c r="S42" s="108">
        <f t="shared" si="6"/>
        <v>2416179.682</v>
      </c>
      <c r="T42" s="108">
        <v>43829</v>
      </c>
      <c r="U42" s="24" t="s">
        <v>184</v>
      </c>
      <c r="V42" s="11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8">
        <v>6395649.56</v>
      </c>
      <c r="N43" s="108">
        <v>186749.16</v>
      </c>
      <c r="O43" s="108">
        <f t="shared" si="9"/>
        <v>1918694.8679999998</v>
      </c>
      <c r="P43" s="108">
        <f t="shared" si="7"/>
        <v>186749.16</v>
      </c>
      <c r="Q43" s="108">
        <f t="shared" si="5"/>
        <v>1492318.2306666665</v>
      </c>
      <c r="R43" s="108">
        <f t="shared" si="6"/>
        <v>1492318.2306666665</v>
      </c>
      <c r="S43" s="108">
        <f t="shared" si="6"/>
        <v>1492318.2306666665</v>
      </c>
      <c r="T43" s="108">
        <v>43829</v>
      </c>
      <c r="U43" s="24" t="s">
        <v>184</v>
      </c>
      <c r="V43" s="11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8">
        <v>4253339.5</v>
      </c>
      <c r="N44" s="108">
        <v>130286.16</v>
      </c>
      <c r="O44" s="108">
        <f t="shared" si="9"/>
        <v>1276001.85</v>
      </c>
      <c r="P44" s="108">
        <f t="shared" si="7"/>
        <v>130286.16</v>
      </c>
      <c r="Q44" s="108">
        <f t="shared" si="5"/>
        <v>992445.8833333333</v>
      </c>
      <c r="R44" s="108">
        <f t="shared" si="6"/>
        <v>992445.8833333333</v>
      </c>
      <c r="S44" s="108">
        <f t="shared" si="6"/>
        <v>992445.8833333333</v>
      </c>
      <c r="T44" s="108">
        <v>43829</v>
      </c>
      <c r="U44" s="24" t="s">
        <v>184</v>
      </c>
      <c r="V44" s="11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8">
        <f>2138688.64</f>
        <v>2138688.64</v>
      </c>
      <c r="N45" s="108">
        <v>65143.08</v>
      </c>
      <c r="O45" s="108">
        <f t="shared" si="9"/>
        <v>641606.5920000001</v>
      </c>
      <c r="P45" s="108">
        <f t="shared" si="7"/>
        <v>65143.08</v>
      </c>
      <c r="Q45" s="108">
        <f t="shared" si="5"/>
        <v>499027.3493333333</v>
      </c>
      <c r="R45" s="108">
        <f t="shared" si="6"/>
        <v>499027.3493333333</v>
      </c>
      <c r="S45" s="108">
        <f t="shared" si="6"/>
        <v>499027.3493333333</v>
      </c>
      <c r="T45" s="108">
        <v>43829</v>
      </c>
      <c r="U45" s="24" t="s">
        <v>184</v>
      </c>
      <c r="V45" s="11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8">
        <v>6351148.22</v>
      </c>
      <c r="N46" s="108">
        <v>203861.52</v>
      </c>
      <c r="O46" s="108">
        <f t="shared" si="9"/>
        <v>1905344.466</v>
      </c>
      <c r="P46" s="108">
        <f t="shared" si="7"/>
        <v>203861.52</v>
      </c>
      <c r="Q46" s="108">
        <f t="shared" si="5"/>
        <v>1481934.5846666666</v>
      </c>
      <c r="R46" s="108">
        <f t="shared" si="6"/>
        <v>1481934.5846666666</v>
      </c>
      <c r="S46" s="108">
        <f t="shared" si="6"/>
        <v>1481934.5846666666</v>
      </c>
      <c r="T46" s="108">
        <v>43829</v>
      </c>
      <c r="U46" s="24" t="s">
        <v>184</v>
      </c>
      <c r="V46" s="11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8">
        <f>2256141.12</f>
        <v>2256141.12</v>
      </c>
      <c r="N47" s="108">
        <v>67865.34</v>
      </c>
      <c r="O47" s="108">
        <f t="shared" si="9"/>
        <v>676842.3360000001</v>
      </c>
      <c r="P47" s="108">
        <f t="shared" si="7"/>
        <v>67865.34</v>
      </c>
      <c r="Q47" s="108">
        <f t="shared" si="5"/>
        <v>526432.928</v>
      </c>
      <c r="R47" s="108">
        <f t="shared" si="6"/>
        <v>526432.928</v>
      </c>
      <c r="S47" s="108">
        <f t="shared" si="6"/>
        <v>526432.928</v>
      </c>
      <c r="T47" s="108">
        <v>43829</v>
      </c>
      <c r="U47" s="24" t="s">
        <v>184</v>
      </c>
      <c r="V47" s="11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8">
        <f>2256141.12</f>
        <v>2256141.12</v>
      </c>
      <c r="N48" s="108">
        <v>67865.34</v>
      </c>
      <c r="O48" s="108">
        <f t="shared" si="9"/>
        <v>676842.3360000001</v>
      </c>
      <c r="P48" s="108">
        <f t="shared" si="7"/>
        <v>67865.34</v>
      </c>
      <c r="Q48" s="108">
        <f t="shared" si="5"/>
        <v>526432.928</v>
      </c>
      <c r="R48" s="108">
        <f t="shared" si="6"/>
        <v>526432.928</v>
      </c>
      <c r="S48" s="108">
        <f t="shared" si="6"/>
        <v>526432.928</v>
      </c>
      <c r="T48" s="108">
        <v>43829</v>
      </c>
      <c r="U48" s="24" t="s">
        <v>184</v>
      </c>
      <c r="V48" s="11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8">
        <f>2256141.12</f>
        <v>2256141.12</v>
      </c>
      <c r="N49" s="108">
        <v>67865.34</v>
      </c>
      <c r="O49" s="108">
        <f t="shared" si="9"/>
        <v>676842.3360000001</v>
      </c>
      <c r="P49" s="108">
        <f t="shared" si="7"/>
        <v>67865.34</v>
      </c>
      <c r="Q49" s="108">
        <f t="shared" si="5"/>
        <v>526432.928</v>
      </c>
      <c r="R49" s="108">
        <f t="shared" si="6"/>
        <v>526432.928</v>
      </c>
      <c r="S49" s="108">
        <f t="shared" si="6"/>
        <v>526432.928</v>
      </c>
      <c r="T49" s="108">
        <v>43829</v>
      </c>
      <c r="U49" s="24" t="s">
        <v>184</v>
      </c>
      <c r="V49" s="11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8">
        <v>4226752.92</v>
      </c>
      <c r="N50" s="108">
        <v>130286.16</v>
      </c>
      <c r="O50" s="108">
        <f t="shared" si="9"/>
        <v>1268025.876</v>
      </c>
      <c r="P50" s="108">
        <f t="shared" si="7"/>
        <v>130286.16</v>
      </c>
      <c r="Q50" s="108">
        <f t="shared" si="5"/>
        <v>986242.3479999999</v>
      </c>
      <c r="R50" s="108">
        <f t="shared" si="6"/>
        <v>986242.3479999999</v>
      </c>
      <c r="S50" s="108">
        <f t="shared" si="6"/>
        <v>986242.3479999999</v>
      </c>
      <c r="T50" s="108">
        <v>43829</v>
      </c>
      <c r="U50" s="24" t="s">
        <v>184</v>
      </c>
      <c r="V50" s="11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8">
        <v>5884421.64</v>
      </c>
      <c r="N51" s="108">
        <v>163809.96</v>
      </c>
      <c r="O51" s="108">
        <f t="shared" si="9"/>
        <v>1765326.4919999999</v>
      </c>
      <c r="P51" s="108">
        <f t="shared" si="7"/>
        <v>163809.96</v>
      </c>
      <c r="Q51" s="108">
        <f t="shared" si="5"/>
        <v>1373031.716</v>
      </c>
      <c r="R51" s="108">
        <f t="shared" si="6"/>
        <v>1373031.716</v>
      </c>
      <c r="S51" s="108">
        <f t="shared" si="6"/>
        <v>1373031.716</v>
      </c>
      <c r="T51" s="108">
        <v>43829</v>
      </c>
      <c r="U51" s="24" t="s">
        <v>184</v>
      </c>
      <c r="V51" s="11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8">
        <v>4464153.58</v>
      </c>
      <c r="N52" s="108">
        <v>135730.68</v>
      </c>
      <c r="O52" s="108">
        <f t="shared" si="9"/>
        <v>1339246.074</v>
      </c>
      <c r="P52" s="108">
        <f t="shared" si="7"/>
        <v>135730.68</v>
      </c>
      <c r="Q52" s="108">
        <f t="shared" si="5"/>
        <v>1041635.8353333334</v>
      </c>
      <c r="R52" s="108">
        <f t="shared" si="6"/>
        <v>1041635.8353333334</v>
      </c>
      <c r="S52" s="108">
        <f t="shared" si="6"/>
        <v>1041635.8353333334</v>
      </c>
      <c r="T52" s="108">
        <v>43829</v>
      </c>
      <c r="U52" s="24" t="s">
        <v>184</v>
      </c>
      <c r="V52" s="11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8">
        <f>2788331.24</f>
        <v>2788331.24</v>
      </c>
      <c r="N53" s="108">
        <v>62249.72</v>
      </c>
      <c r="O53" s="108">
        <f t="shared" si="9"/>
        <v>836499.372</v>
      </c>
      <c r="P53" s="108">
        <f>N53</f>
        <v>62249.72</v>
      </c>
      <c r="Q53" s="108">
        <f t="shared" si="5"/>
        <v>650610.6226666667</v>
      </c>
      <c r="R53" s="108">
        <f t="shared" si="6"/>
        <v>650610.6226666667</v>
      </c>
      <c r="S53" s="108">
        <f t="shared" si="6"/>
        <v>650610.6226666667</v>
      </c>
      <c r="T53" s="108">
        <v>43829</v>
      </c>
      <c r="U53" s="24" t="s">
        <v>184</v>
      </c>
      <c r="V53" s="11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8">
        <v>4504657.08</v>
      </c>
      <c r="N54" s="108">
        <v>130115.06</v>
      </c>
      <c r="O54" s="108">
        <f t="shared" si="9"/>
        <v>1351397.124</v>
      </c>
      <c r="P54" s="108">
        <f t="shared" si="7"/>
        <v>130115.06</v>
      </c>
      <c r="Q54" s="108">
        <f t="shared" si="5"/>
        <v>1051086.652</v>
      </c>
      <c r="R54" s="108">
        <f t="shared" si="6"/>
        <v>1051086.652</v>
      </c>
      <c r="S54" s="108">
        <f t="shared" si="6"/>
        <v>1051086.652</v>
      </c>
      <c r="T54" s="108">
        <v>43829</v>
      </c>
      <c r="U54" s="24" t="s">
        <v>184</v>
      </c>
      <c r="V54" s="116">
        <f t="shared" si="1"/>
        <v>0</v>
      </c>
      <c r="W54" s="90"/>
    </row>
    <row r="55" spans="1:23" ht="18" customHeight="1">
      <c r="A55" s="368" t="s">
        <v>23</v>
      </c>
      <c r="B55" s="369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09">
        <f t="shared" si="10"/>
        <v>132155299.89000002</v>
      </c>
      <c r="N55" s="109">
        <f aca="true" t="shared" si="11" ref="N55:S55">SUM(N27:N54)</f>
        <v>3737504.8000000003</v>
      </c>
      <c r="O55" s="109">
        <f t="shared" si="11"/>
        <v>39646589.967</v>
      </c>
      <c r="P55" s="109">
        <f t="shared" si="11"/>
        <v>3737504.8000000003</v>
      </c>
      <c r="Q55" s="109">
        <f t="shared" si="11"/>
        <v>30836236.640999995</v>
      </c>
      <c r="R55" s="109">
        <f t="shared" si="11"/>
        <v>30836236.640999995</v>
      </c>
      <c r="S55" s="109">
        <f t="shared" si="11"/>
        <v>30836236.640999995</v>
      </c>
      <c r="T55" s="109" t="s">
        <v>261</v>
      </c>
      <c r="U55" s="6" t="s">
        <v>261</v>
      </c>
      <c r="V55" s="116">
        <f t="shared" si="1"/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2"/>
      <c r="N56" s="112"/>
      <c r="O56" s="112"/>
      <c r="P56" s="112"/>
      <c r="Q56" s="112"/>
      <c r="R56" s="112"/>
      <c r="S56" s="112"/>
      <c r="T56" s="112"/>
      <c r="U56" s="72"/>
      <c r="V56" s="11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0">
        <v>5417787.1</v>
      </c>
      <c r="N57" s="110">
        <v>149586.24</v>
      </c>
      <c r="O57" s="110">
        <f t="shared" si="9"/>
        <v>1625336.13</v>
      </c>
      <c r="P57" s="108">
        <f>N57</f>
        <v>149586.24</v>
      </c>
      <c r="Q57" s="110">
        <f t="shared" si="5"/>
        <v>1264150.3233333332</v>
      </c>
      <c r="R57" s="110">
        <f t="shared" si="6"/>
        <v>1264150.3233333332</v>
      </c>
      <c r="S57" s="110">
        <f t="shared" si="6"/>
        <v>1264150.3233333332</v>
      </c>
      <c r="T57" s="113" t="s">
        <v>314</v>
      </c>
      <c r="U57" s="36" t="s">
        <v>184</v>
      </c>
      <c r="V57" s="116">
        <f t="shared" si="1"/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0">
        <v>9430303.940000001</v>
      </c>
      <c r="N58" s="110">
        <v>266137.2</v>
      </c>
      <c r="O58" s="110">
        <f t="shared" si="9"/>
        <v>2829091.1820000005</v>
      </c>
      <c r="P58" s="108">
        <f>N58</f>
        <v>266137.2</v>
      </c>
      <c r="Q58" s="110">
        <f t="shared" si="5"/>
        <v>2200404.252666667</v>
      </c>
      <c r="R58" s="110">
        <f t="shared" si="6"/>
        <v>2200404.252666667</v>
      </c>
      <c r="S58" s="110">
        <f t="shared" si="6"/>
        <v>2200404.252666667</v>
      </c>
      <c r="T58" s="113" t="s">
        <v>314</v>
      </c>
      <c r="U58" s="36" t="s">
        <v>184</v>
      </c>
      <c r="V58" s="116">
        <f t="shared" si="1"/>
        <v>0</v>
      </c>
      <c r="W58" s="100"/>
    </row>
    <row r="59" spans="1:23" ht="18" customHeight="1">
      <c r="A59" s="374" t="s">
        <v>23</v>
      </c>
      <c r="B59" s="374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09">
        <f t="shared" si="12"/>
        <v>14848091.040000001</v>
      </c>
      <c r="N59" s="109">
        <f aca="true" t="shared" si="13" ref="N59:S59">SUM(N57:N58)</f>
        <v>415723.44</v>
      </c>
      <c r="O59" s="109">
        <f t="shared" si="13"/>
        <v>4454427.312000001</v>
      </c>
      <c r="P59" s="109">
        <f t="shared" si="13"/>
        <v>415723.44</v>
      </c>
      <c r="Q59" s="109">
        <f t="shared" si="13"/>
        <v>3464554.5760000004</v>
      </c>
      <c r="R59" s="109">
        <f t="shared" si="13"/>
        <v>3464554.5760000004</v>
      </c>
      <c r="S59" s="109">
        <f t="shared" si="13"/>
        <v>3464554.5760000004</v>
      </c>
      <c r="T59" s="105" t="s">
        <v>261</v>
      </c>
      <c r="U59" s="67" t="s">
        <v>261</v>
      </c>
      <c r="V59" s="116">
        <f t="shared" si="1"/>
        <v>0</v>
      </c>
      <c r="W59" s="93"/>
    </row>
    <row r="60" spans="1:31" s="15" customFormat="1" ht="18" customHeight="1">
      <c r="A60" s="370" t="s">
        <v>27</v>
      </c>
      <c r="B60" s="371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11">
        <f t="shared" si="14"/>
        <v>147003390.93</v>
      </c>
      <c r="N60" s="111">
        <f aca="true" t="shared" si="15" ref="N60:S60">N59+N55</f>
        <v>4153228.24</v>
      </c>
      <c r="O60" s="111">
        <f t="shared" si="15"/>
        <v>44101017.279</v>
      </c>
      <c r="P60" s="111">
        <f t="shared" si="15"/>
        <v>4153228.24</v>
      </c>
      <c r="Q60" s="111">
        <f t="shared" si="15"/>
        <v>34300791.21699999</v>
      </c>
      <c r="R60" s="111">
        <f t="shared" si="15"/>
        <v>34300791.21699999</v>
      </c>
      <c r="S60" s="111">
        <f t="shared" si="15"/>
        <v>34300791.21699999</v>
      </c>
      <c r="T60" s="111" t="s">
        <v>261</v>
      </c>
      <c r="U60" s="12" t="s">
        <v>261</v>
      </c>
      <c r="V60" s="116">
        <f t="shared" si="1"/>
        <v>0</v>
      </c>
      <c r="W60" s="118" t="e">
        <f>M60-'2017'!M25-#REF!</f>
        <v>#REF!</v>
      </c>
      <c r="X60" s="118" t="e">
        <f>N60-'2017'!N25-#REF!</f>
        <v>#REF!</v>
      </c>
      <c r="Y60" s="118" t="e">
        <f>O60-'2017'!O25-#REF!</f>
        <v>#REF!</v>
      </c>
      <c r="Z60" s="118" t="e">
        <f>P60-'2017'!P25-#REF!</f>
        <v>#REF!</v>
      </c>
      <c r="AA60" s="118" t="e">
        <f>Q60-'2017'!Q25-#REF!</f>
        <v>#REF!</v>
      </c>
      <c r="AB60" s="118" t="e">
        <f>R60-'2017'!R25-#REF!</f>
        <v>#REF!</v>
      </c>
      <c r="AC60" s="118" t="e">
        <f>S60-'2017'!S25-#REF!</f>
        <v>#REF!</v>
      </c>
      <c r="AD60" s="118" t="e">
        <f>T60-'2017'!T25-#REF!</f>
        <v>#VALUE!</v>
      </c>
      <c r="AE60" s="118" t="e">
        <f>U60-'2017'!U25-#REF!</f>
        <v>#VALUE!</v>
      </c>
    </row>
    <row r="61" spans="1:23" s="15" customFormat="1" ht="18" customHeight="1">
      <c r="A61" s="375" t="s">
        <v>273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7"/>
      <c r="V61" s="116">
        <f t="shared" si="1"/>
        <v>0</v>
      </c>
      <c r="W61" s="92"/>
    </row>
    <row r="62" spans="1:23" s="15" customFormat="1" ht="18" customHeight="1">
      <c r="A62" s="364" t="s">
        <v>274</v>
      </c>
      <c r="B62" s="365"/>
      <c r="C62" s="365"/>
      <c r="D62" s="365"/>
      <c r="E62" s="366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11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0">
        <v>2352780.76</v>
      </c>
      <c r="N63" s="110">
        <v>66534.3</v>
      </c>
      <c r="O63" s="110">
        <f aca="true" t="shared" si="16" ref="O63:O68">M63*30/100</f>
        <v>705834.228</v>
      </c>
      <c r="P63" s="108">
        <f aca="true" t="shared" si="17" ref="P63:P68">N63</f>
        <v>66534.3</v>
      </c>
      <c r="Q63" s="110">
        <f aca="true" t="shared" si="18" ref="Q63:Q69">(M63-O63)/3</f>
        <v>548982.1773333332</v>
      </c>
      <c r="R63" s="110">
        <f aca="true" t="shared" si="19" ref="R63:S69">Q63</f>
        <v>548982.1773333332</v>
      </c>
      <c r="S63" s="110">
        <f t="shared" si="19"/>
        <v>548982.1773333332</v>
      </c>
      <c r="T63" s="113" t="s">
        <v>314</v>
      </c>
      <c r="U63" s="36" t="s">
        <v>184</v>
      </c>
      <c r="V63" s="116">
        <f t="shared" si="1"/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0">
        <v>2352780.76</v>
      </c>
      <c r="N64" s="110">
        <v>66534.3</v>
      </c>
      <c r="O64" s="110">
        <f t="shared" si="16"/>
        <v>705834.228</v>
      </c>
      <c r="P64" s="108">
        <f t="shared" si="17"/>
        <v>66534.3</v>
      </c>
      <c r="Q64" s="110">
        <f t="shared" si="18"/>
        <v>548982.1773333332</v>
      </c>
      <c r="R64" s="110">
        <f t="shared" si="19"/>
        <v>548982.1773333332</v>
      </c>
      <c r="S64" s="110">
        <f t="shared" si="19"/>
        <v>548982.1773333332</v>
      </c>
      <c r="T64" s="113" t="s">
        <v>314</v>
      </c>
      <c r="U64" s="36" t="s">
        <v>184</v>
      </c>
      <c r="V64" s="116">
        <f t="shared" si="1"/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0">
        <v>11608937.94</v>
      </c>
      <c r="N65" s="110">
        <v>332671.5</v>
      </c>
      <c r="O65" s="110">
        <f t="shared" si="16"/>
        <v>3482681.3819999998</v>
      </c>
      <c r="P65" s="108">
        <f t="shared" si="17"/>
        <v>332671.5</v>
      </c>
      <c r="Q65" s="110">
        <f t="shared" si="18"/>
        <v>2708752.186</v>
      </c>
      <c r="R65" s="110">
        <f t="shared" si="19"/>
        <v>2708752.186</v>
      </c>
      <c r="S65" s="110">
        <f t="shared" si="19"/>
        <v>2708752.186</v>
      </c>
      <c r="T65" s="113" t="s">
        <v>314</v>
      </c>
      <c r="U65" s="36" t="s">
        <v>184</v>
      </c>
      <c r="V65" s="116">
        <f t="shared" si="1"/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0">
        <v>16643917.7</v>
      </c>
      <c r="N66" s="110">
        <v>465740.1</v>
      </c>
      <c r="O66" s="110">
        <f t="shared" si="16"/>
        <v>4993175.31</v>
      </c>
      <c r="P66" s="108">
        <f t="shared" si="17"/>
        <v>465740.1</v>
      </c>
      <c r="Q66" s="110">
        <f t="shared" si="18"/>
        <v>3883580.796666667</v>
      </c>
      <c r="R66" s="110">
        <f t="shared" si="19"/>
        <v>3883580.796666667</v>
      </c>
      <c r="S66" s="110">
        <f t="shared" si="19"/>
        <v>3883580.796666667</v>
      </c>
      <c r="T66" s="113" t="s">
        <v>314</v>
      </c>
      <c r="U66" s="36" t="s">
        <v>184</v>
      </c>
      <c r="V66" s="116">
        <f t="shared" si="1"/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0">
        <v>14198672.14</v>
      </c>
      <c r="N67" s="110">
        <v>399205.8</v>
      </c>
      <c r="O67" s="110">
        <f t="shared" si="16"/>
        <v>4259601.642000001</v>
      </c>
      <c r="P67" s="108">
        <f t="shared" si="17"/>
        <v>399205.8</v>
      </c>
      <c r="Q67" s="110">
        <f t="shared" si="18"/>
        <v>3313023.499333333</v>
      </c>
      <c r="R67" s="110">
        <f t="shared" si="19"/>
        <v>3313023.499333333</v>
      </c>
      <c r="S67" s="110">
        <f t="shared" si="19"/>
        <v>3313023.499333333</v>
      </c>
      <c r="T67" s="113" t="s">
        <v>314</v>
      </c>
      <c r="U67" s="36" t="s">
        <v>184</v>
      </c>
      <c r="V67" s="116">
        <f t="shared" si="1"/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0">
        <v>4297449.08</v>
      </c>
      <c r="N68" s="110">
        <v>111047.44</v>
      </c>
      <c r="O68" s="110">
        <f t="shared" si="16"/>
        <v>1289234.7240000002</v>
      </c>
      <c r="P68" s="108">
        <f t="shared" si="17"/>
        <v>111047.44</v>
      </c>
      <c r="Q68" s="110">
        <f t="shared" si="18"/>
        <v>1002738.1186666666</v>
      </c>
      <c r="R68" s="110">
        <f t="shared" si="19"/>
        <v>1002738.1186666666</v>
      </c>
      <c r="S68" s="110">
        <f t="shared" si="19"/>
        <v>1002738.1186666666</v>
      </c>
      <c r="T68" s="113" t="s">
        <v>314</v>
      </c>
      <c r="U68" s="36" t="s">
        <v>184</v>
      </c>
      <c r="V68" s="116">
        <f t="shared" si="1"/>
        <v>0</v>
      </c>
      <c r="W68" s="100"/>
    </row>
    <row r="69" spans="1:23" s="15" customFormat="1" ht="18" customHeight="1">
      <c r="A69" s="374" t="s">
        <v>23</v>
      </c>
      <c r="B69" s="374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09">
        <f t="shared" si="20"/>
        <v>51454538.379999995</v>
      </c>
      <c r="N69" s="109">
        <f t="shared" si="20"/>
        <v>1441733.44</v>
      </c>
      <c r="O69" s="109">
        <f t="shared" si="20"/>
        <v>15436361.513999999</v>
      </c>
      <c r="P69" s="109">
        <f t="shared" si="20"/>
        <v>1441733.44</v>
      </c>
      <c r="Q69" s="109">
        <f t="shared" si="18"/>
        <v>12006058.955333332</v>
      </c>
      <c r="R69" s="109">
        <f t="shared" si="19"/>
        <v>12006058.955333332</v>
      </c>
      <c r="S69" s="109">
        <f t="shared" si="19"/>
        <v>12006058.955333332</v>
      </c>
      <c r="T69" s="105" t="s">
        <v>261</v>
      </c>
      <c r="U69" s="67" t="s">
        <v>261</v>
      </c>
      <c r="V69" s="116">
        <f t="shared" si="1"/>
        <v>0</v>
      </c>
      <c r="W69" s="93"/>
    </row>
    <row r="70" spans="1:32" s="15" customFormat="1" ht="18" customHeight="1">
      <c r="A70" s="378" t="s">
        <v>281</v>
      </c>
      <c r="B70" s="378"/>
      <c r="C70" s="378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14">
        <f t="shared" si="21"/>
        <v>51454538.379999995</v>
      </c>
      <c r="N70" s="114">
        <f t="shared" si="21"/>
        <v>1441733.44</v>
      </c>
      <c r="O70" s="114">
        <f t="shared" si="21"/>
        <v>15436361.513999999</v>
      </c>
      <c r="P70" s="114">
        <f t="shared" si="21"/>
        <v>1441733.44</v>
      </c>
      <c r="Q70" s="114">
        <f t="shared" si="21"/>
        <v>12006058.955333332</v>
      </c>
      <c r="R70" s="114">
        <f t="shared" si="21"/>
        <v>12006058.955333332</v>
      </c>
      <c r="S70" s="114">
        <f t="shared" si="21"/>
        <v>12006058.955333332</v>
      </c>
      <c r="T70" s="115" t="s">
        <v>261</v>
      </c>
      <c r="U70" s="70" t="s">
        <v>261</v>
      </c>
      <c r="V70" s="116">
        <f t="shared" si="1"/>
        <v>0</v>
      </c>
      <c r="W70" s="119">
        <f>M70-'2017'!M35</f>
        <v>0</v>
      </c>
      <c r="X70" s="119">
        <f>N70-'2017'!N35</f>
        <v>0</v>
      </c>
      <c r="Y70" s="119">
        <f>O70-'2017'!O35</f>
        <v>-5.86600000038743</v>
      </c>
      <c r="Z70" s="119">
        <f>P70-'2017'!P35</f>
        <v>0</v>
      </c>
      <c r="AA70" s="119">
        <f>Q70-'2017'!Q35</f>
        <v>1.9553333315998316</v>
      </c>
      <c r="AB70" s="119">
        <f>R70-'2017'!R35</f>
        <v>1.9553333315998316</v>
      </c>
      <c r="AC70" s="119">
        <f>S70-'2017'!S35</f>
        <v>1.9553333315998316</v>
      </c>
      <c r="AD70" s="119" t="e">
        <f>T70-'2017'!T35</f>
        <v>#VALUE!</v>
      </c>
      <c r="AE70" s="119" t="e">
        <f>U70-'2017'!U35</f>
        <v>#VALUE!</v>
      </c>
      <c r="AF70" s="119" t="e">
        <f>V70-'2017'!#REF!</f>
        <v>#REF!</v>
      </c>
    </row>
    <row r="71" spans="1:23" ht="18" customHeight="1">
      <c r="A71" s="270" t="s">
        <v>28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2"/>
      <c r="V71" s="116">
        <f t="shared" si="1"/>
        <v>0</v>
      </c>
      <c r="W71" s="88"/>
    </row>
    <row r="72" spans="1:23" ht="18" customHeight="1">
      <c r="A72" s="273" t="s">
        <v>29</v>
      </c>
      <c r="B72" s="274"/>
      <c r="C72" s="274"/>
      <c r="D72" s="274"/>
      <c r="E72" s="275"/>
      <c r="F72" s="267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9"/>
      <c r="V72" s="11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8">
        <v>4229305.78</v>
      </c>
      <c r="N73" s="108">
        <v>133097.93</v>
      </c>
      <c r="O73" s="108">
        <f aca="true" t="shared" si="22" ref="O73:O78">M73*30/100</f>
        <v>1268791.7340000002</v>
      </c>
      <c r="P73" s="108">
        <f aca="true" t="shared" si="23" ref="P73:P78">N73</f>
        <v>133097.93</v>
      </c>
      <c r="Q73" s="108">
        <f aca="true" t="shared" si="24" ref="Q73:Q78">(M73-O73)/3</f>
        <v>986838.0153333334</v>
      </c>
      <c r="R73" s="108">
        <f aca="true" t="shared" si="25" ref="R73:S79">Q73</f>
        <v>986838.0153333334</v>
      </c>
      <c r="S73" s="108">
        <f t="shared" si="25"/>
        <v>986838.0153333334</v>
      </c>
      <c r="T73" s="108">
        <v>43829</v>
      </c>
      <c r="U73" s="24" t="s">
        <v>184</v>
      </c>
      <c r="V73" s="11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8">
        <v>4100534.59</v>
      </c>
      <c r="N74" s="108">
        <v>135909.46</v>
      </c>
      <c r="O74" s="108">
        <f t="shared" si="22"/>
        <v>1230160.3769999999</v>
      </c>
      <c r="P74" s="108">
        <f t="shared" si="23"/>
        <v>135909.46</v>
      </c>
      <c r="Q74" s="108">
        <f t="shared" si="24"/>
        <v>956791.4043333334</v>
      </c>
      <c r="R74" s="108">
        <f t="shared" si="25"/>
        <v>956791.4043333334</v>
      </c>
      <c r="S74" s="108">
        <f t="shared" si="25"/>
        <v>956791.4043333334</v>
      </c>
      <c r="T74" s="108">
        <v>43829</v>
      </c>
      <c r="U74" s="24" t="s">
        <v>184</v>
      </c>
      <c r="V74" s="11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0">
        <v>2438153.76</v>
      </c>
      <c r="N75" s="110">
        <v>66534.3</v>
      </c>
      <c r="O75" s="110">
        <f t="shared" si="22"/>
        <v>731446.128</v>
      </c>
      <c r="P75" s="108">
        <f t="shared" si="23"/>
        <v>66534.3</v>
      </c>
      <c r="Q75" s="110">
        <f t="shared" si="24"/>
        <v>568902.5439999999</v>
      </c>
      <c r="R75" s="110">
        <f t="shared" si="25"/>
        <v>568902.5439999999</v>
      </c>
      <c r="S75" s="110">
        <f t="shared" si="25"/>
        <v>568902.5439999999</v>
      </c>
      <c r="T75" s="110">
        <v>43829</v>
      </c>
      <c r="U75" s="36" t="s">
        <v>184</v>
      </c>
      <c r="V75" s="116">
        <f t="shared" si="1"/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0">
        <v>11762070.08</v>
      </c>
      <c r="N76" s="110">
        <v>332671.5</v>
      </c>
      <c r="O76" s="110">
        <f t="shared" si="22"/>
        <v>3528621.0239999997</v>
      </c>
      <c r="P76" s="108">
        <f t="shared" si="23"/>
        <v>332671.5</v>
      </c>
      <c r="Q76" s="110">
        <f t="shared" si="24"/>
        <v>2744483.0186666665</v>
      </c>
      <c r="R76" s="110">
        <f t="shared" si="25"/>
        <v>2744483.0186666665</v>
      </c>
      <c r="S76" s="110">
        <f t="shared" si="25"/>
        <v>2744483.0186666665</v>
      </c>
      <c r="T76" s="110">
        <v>43829</v>
      </c>
      <c r="U76" s="36" t="s">
        <v>184</v>
      </c>
      <c r="V76" s="116">
        <f t="shared" si="1"/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0">
        <v>2438153.76</v>
      </c>
      <c r="N77" s="110">
        <v>66534.3</v>
      </c>
      <c r="O77" s="110">
        <f t="shared" si="22"/>
        <v>731446.128</v>
      </c>
      <c r="P77" s="108">
        <f t="shared" si="23"/>
        <v>66534.3</v>
      </c>
      <c r="Q77" s="110">
        <f t="shared" si="24"/>
        <v>568902.5439999999</v>
      </c>
      <c r="R77" s="110">
        <f t="shared" si="25"/>
        <v>568902.5439999999</v>
      </c>
      <c r="S77" s="110">
        <f t="shared" si="25"/>
        <v>568902.5439999999</v>
      </c>
      <c r="T77" s="110">
        <v>43829</v>
      </c>
      <c r="U77" s="36" t="s">
        <v>184</v>
      </c>
      <c r="V77" s="116">
        <f t="shared" si="1"/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0">
        <v>9503310.54</v>
      </c>
      <c r="N78" s="110">
        <v>266137.2</v>
      </c>
      <c r="O78" s="110">
        <f t="shared" si="22"/>
        <v>2850993.162</v>
      </c>
      <c r="P78" s="108">
        <f t="shared" si="23"/>
        <v>266137.2</v>
      </c>
      <c r="Q78" s="110">
        <f t="shared" si="24"/>
        <v>2217439.1259999997</v>
      </c>
      <c r="R78" s="110">
        <f t="shared" si="25"/>
        <v>2217439.1259999997</v>
      </c>
      <c r="S78" s="110">
        <f t="shared" si="25"/>
        <v>2217439.1259999997</v>
      </c>
      <c r="T78" s="110">
        <v>43829</v>
      </c>
      <c r="U78" s="36" t="s">
        <v>184</v>
      </c>
      <c r="V78" s="116">
        <f aca="true" t="shared" si="26" ref="V78:V141">M78+N78-O78-P78-Q78-R78-S78</f>
        <v>0</v>
      </c>
      <c r="W78" s="100"/>
    </row>
    <row r="79" spans="1:23" ht="18" customHeight="1">
      <c r="A79" s="368" t="s">
        <v>23</v>
      </c>
      <c r="B79" s="369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09">
        <f t="shared" si="27"/>
        <v>34471528.51</v>
      </c>
      <c r="N79" s="109">
        <f t="shared" si="27"/>
        <v>1000884.69</v>
      </c>
      <c r="O79" s="109">
        <f t="shared" si="27"/>
        <v>10341458.553000001</v>
      </c>
      <c r="P79" s="109">
        <f t="shared" si="27"/>
        <v>1000884.69</v>
      </c>
      <c r="Q79" s="109">
        <f t="shared" si="27"/>
        <v>8043356.652333332</v>
      </c>
      <c r="R79" s="109">
        <f t="shared" si="25"/>
        <v>8043356.652333332</v>
      </c>
      <c r="S79" s="109">
        <f t="shared" si="25"/>
        <v>8043356.652333332</v>
      </c>
      <c r="T79" s="109" t="s">
        <v>261</v>
      </c>
      <c r="U79" s="6" t="s">
        <v>261</v>
      </c>
      <c r="V79" s="116">
        <f t="shared" si="26"/>
        <v>0</v>
      </c>
      <c r="W79" s="91"/>
    </row>
    <row r="80" spans="1:28" s="15" customFormat="1" ht="18" customHeight="1">
      <c r="A80" s="370" t="s">
        <v>30</v>
      </c>
      <c r="B80" s="371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1">
        <f aca="true" t="shared" si="28" ref="M80:S80">M79</f>
        <v>34471528.51</v>
      </c>
      <c r="N80" s="111">
        <f t="shared" si="28"/>
        <v>1000884.69</v>
      </c>
      <c r="O80" s="111">
        <f t="shared" si="28"/>
        <v>10341458.553000001</v>
      </c>
      <c r="P80" s="111">
        <f t="shared" si="28"/>
        <v>1000884.69</v>
      </c>
      <c r="Q80" s="111">
        <f t="shared" si="28"/>
        <v>8043356.652333332</v>
      </c>
      <c r="R80" s="111">
        <f t="shared" si="28"/>
        <v>8043356.652333332</v>
      </c>
      <c r="S80" s="111">
        <f t="shared" si="28"/>
        <v>8043356.652333332</v>
      </c>
      <c r="T80" s="111" t="s">
        <v>261</v>
      </c>
      <c r="U80" s="12" t="s">
        <v>261</v>
      </c>
      <c r="V80" s="116">
        <f t="shared" si="26"/>
        <v>0</v>
      </c>
      <c r="W80" s="117" t="e">
        <f>M80-#REF!-'2017'!M43</f>
        <v>#REF!</v>
      </c>
      <c r="X80" s="117" t="e">
        <f>N80-#REF!-'2017'!N43</f>
        <v>#REF!</v>
      </c>
      <c r="Y80" s="117" t="e">
        <f>O80-#REF!-'2017'!O43</f>
        <v>#REF!</v>
      </c>
      <c r="Z80" s="117" t="e">
        <f>P80-#REF!-'2017'!P43</f>
        <v>#REF!</v>
      </c>
      <c r="AA80" s="117" t="e">
        <f>Q80-#REF!-'2017'!Q43</f>
        <v>#REF!</v>
      </c>
      <c r="AB80" s="117" t="e">
        <f>R80-#REF!-'2017'!R43</f>
        <v>#REF!</v>
      </c>
    </row>
    <row r="81" spans="1:23" ht="18" customHeight="1">
      <c r="A81" s="270" t="s">
        <v>31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2"/>
      <c r="V81" s="116">
        <f t="shared" si="26"/>
        <v>0</v>
      </c>
      <c r="W81" s="88"/>
    </row>
    <row r="82" spans="1:23" ht="18" customHeight="1">
      <c r="A82" s="273" t="s">
        <v>32</v>
      </c>
      <c r="B82" s="274"/>
      <c r="C82" s="274"/>
      <c r="D82" s="274"/>
      <c r="E82" s="275"/>
      <c r="F82" s="267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9"/>
      <c r="V82" s="11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8">
        <v>3546491.08</v>
      </c>
      <c r="N83" s="108">
        <v>107794.18</v>
      </c>
      <c r="O83" s="108">
        <f>M83*30/100</f>
        <v>1063947.324</v>
      </c>
      <c r="P83" s="108">
        <f>N83</f>
        <v>107794.18</v>
      </c>
      <c r="Q83" s="108">
        <f aca="true" t="shared" si="29" ref="Q83:Q102">(M83-O83)/3</f>
        <v>827514.5853333334</v>
      </c>
      <c r="R83" s="108">
        <f aca="true" t="shared" si="30" ref="R83:S85">Q83</f>
        <v>827514.5853333334</v>
      </c>
      <c r="S83" s="108">
        <f t="shared" si="30"/>
        <v>827514.5853333334</v>
      </c>
      <c r="T83" s="108">
        <v>43829</v>
      </c>
      <c r="U83" s="24" t="s">
        <v>184</v>
      </c>
      <c r="V83" s="11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8">
        <v>6290302.13</v>
      </c>
      <c r="N84" s="108">
        <v>203596.02</v>
      </c>
      <c r="O84" s="108">
        <f>M84*30/100</f>
        <v>1887090.639</v>
      </c>
      <c r="P84" s="108">
        <f>N84</f>
        <v>203596.02</v>
      </c>
      <c r="Q84" s="108">
        <f t="shared" si="29"/>
        <v>1467737.1636666667</v>
      </c>
      <c r="R84" s="108">
        <f t="shared" si="30"/>
        <v>1467737.1636666667</v>
      </c>
      <c r="S84" s="108">
        <f t="shared" si="30"/>
        <v>1467737.1636666667</v>
      </c>
      <c r="T84" s="108">
        <v>43829</v>
      </c>
      <c r="U84" s="24" t="s">
        <v>184</v>
      </c>
      <c r="V84" s="11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0">
        <v>2340928.84</v>
      </c>
      <c r="N85" s="110">
        <v>66534.3</v>
      </c>
      <c r="O85" s="110">
        <f>M85*30/100</f>
        <v>702278.6519999999</v>
      </c>
      <c r="P85" s="108">
        <f>N85</f>
        <v>66534.3</v>
      </c>
      <c r="Q85" s="110">
        <f t="shared" si="29"/>
        <v>546216.7293333333</v>
      </c>
      <c r="R85" s="110">
        <f t="shared" si="30"/>
        <v>546216.7293333333</v>
      </c>
      <c r="S85" s="110">
        <f t="shared" si="30"/>
        <v>546216.7293333333</v>
      </c>
      <c r="T85" s="110">
        <v>43829</v>
      </c>
      <c r="U85" s="36" t="s">
        <v>184</v>
      </c>
      <c r="V85" s="116">
        <f t="shared" si="26"/>
        <v>0</v>
      </c>
    </row>
    <row r="86" spans="1:22" ht="18" customHeight="1">
      <c r="A86" s="368" t="s">
        <v>23</v>
      </c>
      <c r="B86" s="369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09">
        <f t="shared" si="31"/>
        <v>12177722.05</v>
      </c>
      <c r="N86" s="109">
        <f aca="true" t="shared" si="32" ref="N86:S86">SUM(N83:N85)</f>
        <v>377924.49999999994</v>
      </c>
      <c r="O86" s="109">
        <f t="shared" si="32"/>
        <v>3653316.6149999998</v>
      </c>
      <c r="P86" s="109">
        <f t="shared" si="32"/>
        <v>377924.49999999994</v>
      </c>
      <c r="Q86" s="109">
        <f t="shared" si="32"/>
        <v>2841468.478333333</v>
      </c>
      <c r="R86" s="109">
        <f t="shared" si="32"/>
        <v>2841468.478333333</v>
      </c>
      <c r="S86" s="109">
        <f t="shared" si="32"/>
        <v>2841468.478333333</v>
      </c>
      <c r="T86" s="109" t="s">
        <v>261</v>
      </c>
      <c r="U86" s="6" t="s">
        <v>261</v>
      </c>
      <c r="V86" s="116">
        <f t="shared" si="26"/>
        <v>0</v>
      </c>
    </row>
    <row r="87" spans="1:23" ht="18" customHeight="1">
      <c r="A87" s="273" t="s">
        <v>33</v>
      </c>
      <c r="B87" s="274"/>
      <c r="C87" s="274"/>
      <c r="D87" s="274"/>
      <c r="E87" s="275"/>
      <c r="F87" s="267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9"/>
      <c r="V87" s="116">
        <f t="shared" si="26"/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09">
        <v>9391994.06</v>
      </c>
      <c r="N88" s="109">
        <v>266137.2</v>
      </c>
      <c r="O88" s="110">
        <f aca="true" t="shared" si="33" ref="O88:O93">M88*30/100</f>
        <v>2817598.2180000003</v>
      </c>
      <c r="P88" s="108">
        <f aca="true" t="shared" si="34" ref="P88:P93">N88</f>
        <v>266137.2</v>
      </c>
      <c r="Q88" s="110">
        <f t="shared" si="29"/>
        <v>2191465.2806666666</v>
      </c>
      <c r="R88" s="110">
        <f aca="true" t="shared" si="35" ref="R88:S93">Q88</f>
        <v>2191465.2806666666</v>
      </c>
      <c r="S88" s="110">
        <f t="shared" si="35"/>
        <v>2191465.2806666666</v>
      </c>
      <c r="T88" s="110">
        <v>43829</v>
      </c>
      <c r="U88" s="36" t="s">
        <v>184</v>
      </c>
      <c r="V88" s="116">
        <f t="shared" si="26"/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09">
        <v>2461653.46</v>
      </c>
      <c r="N89" s="109">
        <v>66534.3</v>
      </c>
      <c r="O89" s="110">
        <f t="shared" si="33"/>
        <v>738496.038</v>
      </c>
      <c r="P89" s="108">
        <f t="shared" si="34"/>
        <v>66534.3</v>
      </c>
      <c r="Q89" s="110">
        <f t="shared" si="29"/>
        <v>574385.8073333333</v>
      </c>
      <c r="R89" s="110">
        <f t="shared" si="35"/>
        <v>574385.8073333333</v>
      </c>
      <c r="S89" s="110">
        <f t="shared" si="35"/>
        <v>574385.8073333333</v>
      </c>
      <c r="T89" s="110">
        <v>43829</v>
      </c>
      <c r="U89" s="36" t="s">
        <v>184</v>
      </c>
      <c r="V89" s="116">
        <f t="shared" si="26"/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8">
        <v>2794717.9</v>
      </c>
      <c r="N90" s="108">
        <v>74793.12</v>
      </c>
      <c r="O90" s="108">
        <f t="shared" si="33"/>
        <v>838415.37</v>
      </c>
      <c r="P90" s="108">
        <f t="shared" si="34"/>
        <v>74793.12</v>
      </c>
      <c r="Q90" s="108">
        <f t="shared" si="29"/>
        <v>652100.8433333333</v>
      </c>
      <c r="R90" s="108">
        <f t="shared" si="35"/>
        <v>652100.8433333333</v>
      </c>
      <c r="S90" s="108">
        <f t="shared" si="35"/>
        <v>652100.8433333333</v>
      </c>
      <c r="T90" s="108">
        <v>43829</v>
      </c>
      <c r="U90" s="24" t="s">
        <v>184</v>
      </c>
      <c r="V90" s="11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8">
        <v>2794717.9</v>
      </c>
      <c r="N91" s="108">
        <v>74793.12</v>
      </c>
      <c r="O91" s="108">
        <f t="shared" si="33"/>
        <v>838415.37</v>
      </c>
      <c r="P91" s="108">
        <f t="shared" si="34"/>
        <v>74793.12</v>
      </c>
      <c r="Q91" s="108">
        <f t="shared" si="29"/>
        <v>652100.8433333333</v>
      </c>
      <c r="R91" s="108">
        <f t="shared" si="35"/>
        <v>652100.8433333333</v>
      </c>
      <c r="S91" s="108">
        <f t="shared" si="35"/>
        <v>652100.8433333333</v>
      </c>
      <c r="T91" s="108">
        <v>43829</v>
      </c>
      <c r="U91" s="24" t="s">
        <v>184</v>
      </c>
      <c r="V91" s="11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8">
        <v>2794717.9</v>
      </c>
      <c r="N92" s="108">
        <v>74793.12</v>
      </c>
      <c r="O92" s="108">
        <f t="shared" si="33"/>
        <v>838415.37</v>
      </c>
      <c r="P92" s="108">
        <f t="shared" si="34"/>
        <v>74793.12</v>
      </c>
      <c r="Q92" s="108">
        <f t="shared" si="29"/>
        <v>652100.8433333333</v>
      </c>
      <c r="R92" s="108">
        <f t="shared" si="35"/>
        <v>652100.8433333333</v>
      </c>
      <c r="S92" s="108">
        <f t="shared" si="35"/>
        <v>652100.8433333333</v>
      </c>
      <c r="T92" s="108">
        <v>43829</v>
      </c>
      <c r="U92" s="24" t="s">
        <v>184</v>
      </c>
      <c r="V92" s="11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8">
        <v>2794717.9</v>
      </c>
      <c r="N93" s="108">
        <v>74793.12</v>
      </c>
      <c r="O93" s="108">
        <f t="shared" si="33"/>
        <v>838415.37</v>
      </c>
      <c r="P93" s="108">
        <f t="shared" si="34"/>
        <v>74793.12</v>
      </c>
      <c r="Q93" s="108">
        <f t="shared" si="29"/>
        <v>652100.8433333333</v>
      </c>
      <c r="R93" s="108">
        <f t="shared" si="35"/>
        <v>652100.8433333333</v>
      </c>
      <c r="S93" s="108">
        <f t="shared" si="35"/>
        <v>652100.8433333333</v>
      </c>
      <c r="T93" s="108">
        <v>43829</v>
      </c>
      <c r="U93" s="24" t="s">
        <v>184</v>
      </c>
      <c r="V93" s="116">
        <f t="shared" si="26"/>
        <v>0</v>
      </c>
      <c r="W93" s="90"/>
      <c r="X93" s="4"/>
    </row>
    <row r="94" spans="1:23" ht="18" customHeight="1">
      <c r="A94" s="368" t="s">
        <v>23</v>
      </c>
      <c r="B94" s="369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09">
        <f t="shared" si="36"/>
        <v>23032519.119999997</v>
      </c>
      <c r="N94" s="109">
        <f aca="true" t="shared" si="37" ref="N94:S94">SUM(N88:N93)</f>
        <v>631843.98</v>
      </c>
      <c r="O94" s="109">
        <f t="shared" si="37"/>
        <v>6909755.7360000005</v>
      </c>
      <c r="P94" s="109">
        <f t="shared" si="37"/>
        <v>631843.98</v>
      </c>
      <c r="Q94" s="109">
        <f t="shared" si="37"/>
        <v>5374254.461333333</v>
      </c>
      <c r="R94" s="109">
        <f t="shared" si="37"/>
        <v>5374254.461333333</v>
      </c>
      <c r="S94" s="109">
        <f t="shared" si="37"/>
        <v>5374254.461333333</v>
      </c>
      <c r="T94" s="109" t="s">
        <v>261</v>
      </c>
      <c r="U94" s="6" t="s">
        <v>261</v>
      </c>
      <c r="V94" s="116">
        <f t="shared" si="26"/>
        <v>0</v>
      </c>
      <c r="W94" s="91"/>
    </row>
    <row r="95" spans="1:23" ht="18" customHeight="1">
      <c r="A95" s="273" t="s">
        <v>44</v>
      </c>
      <c r="B95" s="274"/>
      <c r="C95" s="274"/>
      <c r="D95" s="274"/>
      <c r="E95" s="275"/>
      <c r="F95" s="267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9"/>
      <c r="V95" s="11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0">
        <v>11779839.7</v>
      </c>
      <c r="N96" s="110">
        <v>332671.5</v>
      </c>
      <c r="O96" s="110">
        <f aca="true" t="shared" si="38" ref="O96:O102">M96*30/100</f>
        <v>3533951.91</v>
      </c>
      <c r="P96" s="108">
        <f aca="true" t="shared" si="39" ref="P96:P102">N96</f>
        <v>332671.5</v>
      </c>
      <c r="Q96" s="110">
        <f t="shared" si="29"/>
        <v>2748629.263333333</v>
      </c>
      <c r="R96" s="110">
        <f aca="true" t="shared" si="40" ref="R96:S102">Q96</f>
        <v>2748629.263333333</v>
      </c>
      <c r="S96" s="110">
        <f t="shared" si="40"/>
        <v>2748629.263333333</v>
      </c>
      <c r="T96" s="110">
        <v>43829</v>
      </c>
      <c r="U96" s="36" t="s">
        <v>184</v>
      </c>
      <c r="V96" s="116">
        <f t="shared" si="26"/>
        <v>0</v>
      </c>
      <c r="W96" s="100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0">
        <v>11795603.32</v>
      </c>
      <c r="N97" s="110">
        <v>332671.5</v>
      </c>
      <c r="O97" s="110">
        <f t="shared" si="38"/>
        <v>3538680.9960000003</v>
      </c>
      <c r="P97" s="108">
        <f t="shared" si="39"/>
        <v>332671.5</v>
      </c>
      <c r="Q97" s="110">
        <f t="shared" si="29"/>
        <v>2752307.4413333335</v>
      </c>
      <c r="R97" s="110">
        <f t="shared" si="40"/>
        <v>2752307.4413333335</v>
      </c>
      <c r="S97" s="110">
        <f t="shared" si="40"/>
        <v>2752307.4413333335</v>
      </c>
      <c r="T97" s="110">
        <v>43829</v>
      </c>
      <c r="U97" s="36" t="s">
        <v>184</v>
      </c>
      <c r="V97" s="116">
        <f t="shared" si="26"/>
        <v>0</v>
      </c>
      <c r="W97" s="100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0">
        <v>4274966.54</v>
      </c>
      <c r="N98" s="110">
        <v>111047.44</v>
      </c>
      <c r="O98" s="110">
        <f t="shared" si="38"/>
        <v>1282489.962</v>
      </c>
      <c r="P98" s="108">
        <f t="shared" si="39"/>
        <v>111047.44</v>
      </c>
      <c r="Q98" s="110">
        <f t="shared" si="29"/>
        <v>997492.1926666666</v>
      </c>
      <c r="R98" s="110">
        <f t="shared" si="40"/>
        <v>997492.1926666666</v>
      </c>
      <c r="S98" s="110">
        <f t="shared" si="40"/>
        <v>997492.1926666666</v>
      </c>
      <c r="T98" s="110">
        <v>43829</v>
      </c>
      <c r="U98" s="36" t="s">
        <v>184</v>
      </c>
      <c r="V98" s="116">
        <f t="shared" si="26"/>
        <v>0</v>
      </c>
      <c r="W98" s="100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0">
        <v>16517667.139999997</v>
      </c>
      <c r="N99" s="110">
        <v>465740.1</v>
      </c>
      <c r="O99" s="110">
        <f t="shared" si="38"/>
        <v>4955300.141999999</v>
      </c>
      <c r="P99" s="108">
        <f t="shared" si="39"/>
        <v>465740.1</v>
      </c>
      <c r="Q99" s="110">
        <f t="shared" si="29"/>
        <v>3854122.332666666</v>
      </c>
      <c r="R99" s="110">
        <f t="shared" si="40"/>
        <v>3854122.332666666</v>
      </c>
      <c r="S99" s="110">
        <f t="shared" si="40"/>
        <v>3854122.332666666</v>
      </c>
      <c r="T99" s="110">
        <v>43829</v>
      </c>
      <c r="U99" s="36" t="s">
        <v>184</v>
      </c>
      <c r="V99" s="116">
        <f t="shared" si="26"/>
        <v>0</v>
      </c>
      <c r="W99" s="100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09">
        <v>4642281.66</v>
      </c>
      <c r="N100" s="109">
        <v>122059.2</v>
      </c>
      <c r="O100" s="110">
        <f t="shared" si="38"/>
        <v>1392684.4980000001</v>
      </c>
      <c r="P100" s="108">
        <f t="shared" si="39"/>
        <v>122059.2</v>
      </c>
      <c r="Q100" s="110">
        <f t="shared" si="29"/>
        <v>1083199.054</v>
      </c>
      <c r="R100" s="110">
        <f t="shared" si="40"/>
        <v>1083199.054</v>
      </c>
      <c r="S100" s="110">
        <f t="shared" si="40"/>
        <v>1083199.054</v>
      </c>
      <c r="T100" s="110">
        <v>43829</v>
      </c>
      <c r="U100" s="36" t="s">
        <v>184</v>
      </c>
      <c r="V100" s="11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8">
        <v>14573009.36</v>
      </c>
      <c r="N101" s="108">
        <v>475683.11</v>
      </c>
      <c r="O101" s="108">
        <f t="shared" si="38"/>
        <v>4371902.807999999</v>
      </c>
      <c r="P101" s="108">
        <f t="shared" si="39"/>
        <v>475683.11</v>
      </c>
      <c r="Q101" s="108">
        <f t="shared" si="29"/>
        <v>3400368.850666667</v>
      </c>
      <c r="R101" s="108">
        <f t="shared" si="40"/>
        <v>3400368.850666667</v>
      </c>
      <c r="S101" s="108">
        <f t="shared" si="40"/>
        <v>3400368.850666667</v>
      </c>
      <c r="T101" s="108">
        <v>43829</v>
      </c>
      <c r="U101" s="24" t="s">
        <v>184</v>
      </c>
      <c r="V101" s="11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8">
        <v>10294816.68</v>
      </c>
      <c r="N102" s="108">
        <v>339326.7</v>
      </c>
      <c r="O102" s="108">
        <f t="shared" si="38"/>
        <v>3088445.0039999997</v>
      </c>
      <c r="P102" s="108">
        <f t="shared" si="39"/>
        <v>339326.7</v>
      </c>
      <c r="Q102" s="108">
        <f t="shared" si="29"/>
        <v>2402123.892</v>
      </c>
      <c r="R102" s="108">
        <f t="shared" si="40"/>
        <v>2402123.892</v>
      </c>
      <c r="S102" s="108">
        <f t="shared" si="40"/>
        <v>2402123.892</v>
      </c>
      <c r="T102" s="108">
        <v>43829</v>
      </c>
      <c r="U102" s="24" t="s">
        <v>184</v>
      </c>
      <c r="V102" s="116">
        <f t="shared" si="26"/>
        <v>0</v>
      </c>
      <c r="W102" s="90"/>
    </row>
    <row r="103" spans="1:23" ht="18" customHeight="1">
      <c r="A103" s="368" t="s">
        <v>23</v>
      </c>
      <c r="B103" s="369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09">
        <f t="shared" si="42"/>
        <v>73878184.4</v>
      </c>
      <c r="N103" s="109">
        <f aca="true" t="shared" si="43" ref="N103:S103">SUM(N96:N102)</f>
        <v>2179199.5500000003</v>
      </c>
      <c r="O103" s="109">
        <f t="shared" si="43"/>
        <v>22163455.32</v>
      </c>
      <c r="P103" s="109">
        <f t="shared" si="43"/>
        <v>2179199.5500000003</v>
      </c>
      <c r="Q103" s="109">
        <f t="shared" si="43"/>
        <v>17238243.026666664</v>
      </c>
      <c r="R103" s="109">
        <f t="shared" si="43"/>
        <v>17238243.026666664</v>
      </c>
      <c r="S103" s="109">
        <f t="shared" si="43"/>
        <v>17238243.026666664</v>
      </c>
      <c r="T103" s="109" t="s">
        <v>261</v>
      </c>
      <c r="U103" s="6" t="s">
        <v>261</v>
      </c>
      <c r="V103" s="11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1">
        <f aca="true" t="shared" si="44" ref="M104:S104">M103+M94+M86</f>
        <v>109088425.57000001</v>
      </c>
      <c r="N104" s="111">
        <f t="shared" si="44"/>
        <v>3188968.0300000003</v>
      </c>
      <c r="O104" s="111">
        <f t="shared" si="44"/>
        <v>32726527.671</v>
      </c>
      <c r="P104" s="111">
        <f t="shared" si="44"/>
        <v>3188968.0300000003</v>
      </c>
      <c r="Q104" s="111">
        <f t="shared" si="44"/>
        <v>25453965.96633333</v>
      </c>
      <c r="R104" s="111">
        <f t="shared" si="44"/>
        <v>25453965.96633333</v>
      </c>
      <c r="S104" s="111">
        <f t="shared" si="44"/>
        <v>25453965.96633333</v>
      </c>
      <c r="T104" s="111" t="s">
        <v>261</v>
      </c>
      <c r="U104" s="12" t="s">
        <v>261</v>
      </c>
      <c r="V104" s="116">
        <f t="shared" si="26"/>
        <v>0</v>
      </c>
      <c r="W104" s="120" t="e">
        <f>M104-'2017'!M59-#REF!</f>
        <v>#REF!</v>
      </c>
      <c r="X104" s="120" t="e">
        <f>N104-'2017'!N59-#REF!</f>
        <v>#REF!</v>
      </c>
      <c r="Y104" s="120" t="e">
        <f>O104-'2017'!O59-#REF!</f>
        <v>#REF!</v>
      </c>
      <c r="Z104" s="120" t="e">
        <f>P104-'2017'!P59-#REF!</f>
        <v>#REF!</v>
      </c>
      <c r="AA104" s="120" t="e">
        <f>Q104-'2017'!Q59-#REF!</f>
        <v>#REF!</v>
      </c>
      <c r="AB104" s="120" t="e">
        <f>R104-'2017'!R59-#REF!</f>
        <v>#REF!</v>
      </c>
      <c r="AC104" s="120" t="e">
        <f>S104-'2017'!S59-#REF!</f>
        <v>#REF!</v>
      </c>
      <c r="AD104" s="120" t="e">
        <f>T104-'2017'!T59-#REF!</f>
        <v>#VALUE!</v>
      </c>
      <c r="AE104" s="120" t="e">
        <f>U86-'2017'!U59-#REF!</f>
        <v>#VALUE!</v>
      </c>
      <c r="AF104" s="120" t="e">
        <f>V86-'2017'!#REF!-#REF!</f>
        <v>#REF!</v>
      </c>
    </row>
    <row r="105" spans="1:23" ht="18" customHeight="1">
      <c r="A105" s="270" t="s">
        <v>35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2"/>
      <c r="V105" s="116">
        <f t="shared" si="26"/>
        <v>0</v>
      </c>
      <c r="W105" s="88"/>
    </row>
    <row r="106" spans="1:23" ht="18" customHeight="1">
      <c r="A106" s="273" t="s">
        <v>36</v>
      </c>
      <c r="B106" s="274"/>
      <c r="C106" s="274"/>
      <c r="D106" s="274"/>
      <c r="E106" s="275"/>
      <c r="F106" s="267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9"/>
      <c r="V106" s="11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8">
        <f>2079641.89</f>
        <v>2079641.89</v>
      </c>
      <c r="N107" s="108">
        <v>67594.73</v>
      </c>
      <c r="O107" s="108">
        <f aca="true" t="shared" si="45" ref="O107:O113">M107*30/100</f>
        <v>623892.5669999999</v>
      </c>
      <c r="P107" s="108">
        <f aca="true" t="shared" si="46" ref="P107:P113">N107</f>
        <v>67594.73</v>
      </c>
      <c r="Q107" s="108">
        <f aca="true" t="shared" si="47" ref="Q107:Q113">(M107-O107)/3</f>
        <v>485249.7743333333</v>
      </c>
      <c r="R107" s="108">
        <f aca="true" t="shared" si="48" ref="R107:S113">Q107</f>
        <v>485249.7743333333</v>
      </c>
      <c r="S107" s="108">
        <f t="shared" si="48"/>
        <v>485249.7743333333</v>
      </c>
      <c r="T107" s="108">
        <v>43829</v>
      </c>
      <c r="U107" s="24" t="s">
        <v>184</v>
      </c>
      <c r="V107" s="11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8">
        <f>2112589.4</f>
        <v>2112589.4</v>
      </c>
      <c r="N108" s="108">
        <v>65143.08</v>
      </c>
      <c r="O108" s="108">
        <f t="shared" si="45"/>
        <v>633776.82</v>
      </c>
      <c r="P108" s="108">
        <f t="shared" si="46"/>
        <v>65143.08</v>
      </c>
      <c r="Q108" s="108">
        <f t="shared" si="47"/>
        <v>492937.5266666667</v>
      </c>
      <c r="R108" s="108">
        <f t="shared" si="48"/>
        <v>492937.5266666667</v>
      </c>
      <c r="S108" s="108">
        <f t="shared" si="48"/>
        <v>492937.5266666667</v>
      </c>
      <c r="T108" s="108">
        <v>43829</v>
      </c>
      <c r="U108" s="24" t="s">
        <v>184</v>
      </c>
      <c r="V108" s="11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8">
        <v>6036380.61</v>
      </c>
      <c r="N109" s="108">
        <v>195429.24</v>
      </c>
      <c r="O109" s="108">
        <f t="shared" si="45"/>
        <v>1810914.1830000002</v>
      </c>
      <c r="P109" s="108">
        <f t="shared" si="46"/>
        <v>195429.24</v>
      </c>
      <c r="Q109" s="108">
        <f t="shared" si="47"/>
        <v>1408488.8090000001</v>
      </c>
      <c r="R109" s="108">
        <f t="shared" si="48"/>
        <v>1408488.8090000001</v>
      </c>
      <c r="S109" s="108">
        <f t="shared" si="48"/>
        <v>1408488.8090000001</v>
      </c>
      <c r="T109" s="108">
        <v>43829</v>
      </c>
      <c r="U109" s="24" t="s">
        <v>184</v>
      </c>
      <c r="V109" s="11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8">
        <v>5981712.97</v>
      </c>
      <c r="N110" s="108">
        <v>195429.24</v>
      </c>
      <c r="O110" s="108">
        <f t="shared" si="45"/>
        <v>1794513.8909999998</v>
      </c>
      <c r="P110" s="108">
        <f t="shared" si="46"/>
        <v>195429.24</v>
      </c>
      <c r="Q110" s="108">
        <f t="shared" si="47"/>
        <v>1395733.0263333332</v>
      </c>
      <c r="R110" s="108">
        <f t="shared" si="48"/>
        <v>1395733.0263333332</v>
      </c>
      <c r="S110" s="108">
        <f t="shared" si="48"/>
        <v>1395733.0263333332</v>
      </c>
      <c r="T110" s="108">
        <v>43829</v>
      </c>
      <c r="U110" s="24" t="s">
        <v>184</v>
      </c>
      <c r="V110" s="11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8">
        <v>4132901.12</v>
      </c>
      <c r="N111" s="108">
        <v>130286.16</v>
      </c>
      <c r="O111" s="108">
        <f t="shared" si="45"/>
        <v>1239870.3360000001</v>
      </c>
      <c r="P111" s="108">
        <f t="shared" si="46"/>
        <v>130286.16</v>
      </c>
      <c r="Q111" s="108">
        <f t="shared" si="47"/>
        <v>964343.5946666667</v>
      </c>
      <c r="R111" s="108">
        <f t="shared" si="48"/>
        <v>964343.5946666667</v>
      </c>
      <c r="S111" s="108">
        <f t="shared" si="48"/>
        <v>964343.5946666667</v>
      </c>
      <c r="T111" s="108">
        <v>43829</v>
      </c>
      <c r="U111" s="24" t="s">
        <v>184</v>
      </c>
      <c r="V111" s="11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8">
        <v>4210501.96</v>
      </c>
      <c r="N112" s="108">
        <v>130286.16</v>
      </c>
      <c r="O112" s="108">
        <f t="shared" si="45"/>
        <v>1263150.588</v>
      </c>
      <c r="P112" s="108">
        <f t="shared" si="46"/>
        <v>130286.16</v>
      </c>
      <c r="Q112" s="108">
        <f t="shared" si="47"/>
        <v>982450.4573333333</v>
      </c>
      <c r="R112" s="108">
        <f t="shared" si="48"/>
        <v>982450.4573333333</v>
      </c>
      <c r="S112" s="108">
        <f t="shared" si="48"/>
        <v>982450.4573333333</v>
      </c>
      <c r="T112" s="108">
        <v>43829</v>
      </c>
      <c r="U112" s="24" t="s">
        <v>184</v>
      </c>
      <c r="V112" s="11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8">
        <v>4181000.03</v>
      </c>
      <c r="N113" s="108">
        <v>135730.68</v>
      </c>
      <c r="O113" s="108">
        <f t="shared" si="45"/>
        <v>1254300.0089999998</v>
      </c>
      <c r="P113" s="108">
        <f t="shared" si="46"/>
        <v>135730.68</v>
      </c>
      <c r="Q113" s="108">
        <f t="shared" si="47"/>
        <v>975566.6736666666</v>
      </c>
      <c r="R113" s="108">
        <f t="shared" si="48"/>
        <v>975566.6736666666</v>
      </c>
      <c r="S113" s="108">
        <f t="shared" si="48"/>
        <v>975566.6736666666</v>
      </c>
      <c r="T113" s="108">
        <v>43829</v>
      </c>
      <c r="U113" s="24" t="s">
        <v>184</v>
      </c>
      <c r="V113" s="116">
        <f t="shared" si="26"/>
        <v>0</v>
      </c>
      <c r="W113" s="90"/>
    </row>
    <row r="114" spans="1:23" ht="18" customHeight="1">
      <c r="A114" s="368" t="s">
        <v>23</v>
      </c>
      <c r="B114" s="369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09">
        <f t="shared" si="50"/>
        <v>28734727.980000004</v>
      </c>
      <c r="N114" s="109">
        <f aca="true" t="shared" si="51" ref="N114:S114">SUM(N107:N113)</f>
        <v>919899.29</v>
      </c>
      <c r="O114" s="109">
        <f t="shared" si="51"/>
        <v>8620418.394</v>
      </c>
      <c r="P114" s="109">
        <f t="shared" si="51"/>
        <v>919899.29</v>
      </c>
      <c r="Q114" s="109">
        <f t="shared" si="51"/>
        <v>6704769.861999999</v>
      </c>
      <c r="R114" s="109">
        <f t="shared" si="51"/>
        <v>6704769.861999999</v>
      </c>
      <c r="S114" s="109">
        <f t="shared" si="51"/>
        <v>6704769.861999999</v>
      </c>
      <c r="T114" s="109" t="s">
        <v>261</v>
      </c>
      <c r="U114" s="6" t="s">
        <v>261</v>
      </c>
      <c r="V114" s="116">
        <f t="shared" si="26"/>
        <v>0</v>
      </c>
      <c r="W114" s="91"/>
    </row>
    <row r="115" spans="1:33" s="15" customFormat="1" ht="18" customHeight="1">
      <c r="A115" s="370" t="s">
        <v>37</v>
      </c>
      <c r="B115" s="371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1">
        <f aca="true" t="shared" si="52" ref="M115:S115">M114</f>
        <v>28734727.980000004</v>
      </c>
      <c r="N115" s="111">
        <f t="shared" si="52"/>
        <v>919899.29</v>
      </c>
      <c r="O115" s="111">
        <f t="shared" si="52"/>
        <v>8620418.394</v>
      </c>
      <c r="P115" s="111">
        <f t="shared" si="52"/>
        <v>919899.29</v>
      </c>
      <c r="Q115" s="111">
        <f t="shared" si="52"/>
        <v>6704769.861999999</v>
      </c>
      <c r="R115" s="111">
        <f t="shared" si="52"/>
        <v>6704769.861999999</v>
      </c>
      <c r="S115" s="111">
        <f t="shared" si="52"/>
        <v>6704769.861999999</v>
      </c>
      <c r="T115" s="111" t="s">
        <v>261</v>
      </c>
      <c r="U115" s="12" t="s">
        <v>261</v>
      </c>
      <c r="V115" s="116">
        <f t="shared" si="26"/>
        <v>0</v>
      </c>
      <c r="W115" s="117" t="e">
        <f>M115-#REF!</f>
        <v>#REF!</v>
      </c>
      <c r="X115" s="117" t="e">
        <f>N115-#REF!</f>
        <v>#REF!</v>
      </c>
      <c r="Y115" s="117" t="e">
        <f>O115-#REF!</f>
        <v>#REF!</v>
      </c>
      <c r="Z115" s="117" t="e">
        <f>P115-#REF!</f>
        <v>#REF!</v>
      </c>
      <c r="AA115" s="117" t="e">
        <f>Q115-#REF!</f>
        <v>#REF!</v>
      </c>
      <c r="AB115" s="117" t="e">
        <f>R115-#REF!</f>
        <v>#REF!</v>
      </c>
      <c r="AC115" s="117" t="e">
        <f>S115-#REF!</f>
        <v>#REF!</v>
      </c>
      <c r="AD115" s="117" t="e">
        <f>T115-#REF!</f>
        <v>#VALUE!</v>
      </c>
      <c r="AE115" s="117" t="e">
        <f>U115-#REF!</f>
        <v>#VALUE!</v>
      </c>
      <c r="AF115" s="117" t="e">
        <f>V115-#REF!</f>
        <v>#REF!</v>
      </c>
      <c r="AG115" s="117" t="e">
        <f>W115-#REF!</f>
        <v>#REF!</v>
      </c>
    </row>
    <row r="116" spans="1:23" ht="18" customHeight="1">
      <c r="A116" s="270" t="s">
        <v>38</v>
      </c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2"/>
      <c r="V116" s="116">
        <f t="shared" si="26"/>
        <v>0</v>
      </c>
      <c r="W116" s="88"/>
    </row>
    <row r="117" spans="1:23" ht="18" customHeight="1">
      <c r="A117" s="273" t="s">
        <v>39</v>
      </c>
      <c r="B117" s="274"/>
      <c r="C117" s="274"/>
      <c r="D117" s="274"/>
      <c r="E117" s="275"/>
      <c r="F117" s="267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9"/>
      <c r="V117" s="11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8">
        <f>2101585.48</f>
        <v>2101585.48</v>
      </c>
      <c r="N118" s="108">
        <v>67954.73</v>
      </c>
      <c r="O118" s="108">
        <f>M118*30/100</f>
        <v>630475.644</v>
      </c>
      <c r="P118" s="108">
        <f>N118</f>
        <v>67954.73</v>
      </c>
      <c r="Q118" s="108">
        <f aca="true" t="shared" si="53" ref="Q118:Q182">(M118-O118)/3</f>
        <v>490369.9453333334</v>
      </c>
      <c r="R118" s="108">
        <f aca="true" t="shared" si="54" ref="R118:S120">Q118</f>
        <v>490369.9453333334</v>
      </c>
      <c r="S118" s="108">
        <f t="shared" si="54"/>
        <v>490369.9453333334</v>
      </c>
      <c r="T118" s="108">
        <v>43829</v>
      </c>
      <c r="U118" s="24" t="s">
        <v>184</v>
      </c>
      <c r="V118" s="11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8">
        <f>2099367.19</f>
        <v>2099367.19</v>
      </c>
      <c r="N119" s="108">
        <v>67954.73</v>
      </c>
      <c r="O119" s="108">
        <f>M119*30/100</f>
        <v>629810.157</v>
      </c>
      <c r="P119" s="108">
        <f>N119</f>
        <v>67954.73</v>
      </c>
      <c r="Q119" s="108">
        <f t="shared" si="53"/>
        <v>489852.34433333325</v>
      </c>
      <c r="R119" s="108">
        <f t="shared" si="54"/>
        <v>489852.34433333325</v>
      </c>
      <c r="S119" s="108">
        <f t="shared" si="54"/>
        <v>489852.34433333325</v>
      </c>
      <c r="T119" s="108">
        <v>43829</v>
      </c>
      <c r="U119" s="24" t="s">
        <v>184</v>
      </c>
      <c r="V119" s="11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0">
        <v>2405345.04</v>
      </c>
      <c r="N120" s="110">
        <v>66534.3</v>
      </c>
      <c r="O120" s="110">
        <f>M120*30/100</f>
        <v>721603.512</v>
      </c>
      <c r="P120" s="108">
        <f>N120</f>
        <v>66534.3</v>
      </c>
      <c r="Q120" s="110">
        <f t="shared" si="53"/>
        <v>561247.176</v>
      </c>
      <c r="R120" s="110">
        <f t="shared" si="54"/>
        <v>561247.176</v>
      </c>
      <c r="S120" s="110">
        <f t="shared" si="54"/>
        <v>561247.176</v>
      </c>
      <c r="T120" s="110">
        <v>43829</v>
      </c>
      <c r="U120" s="36" t="s">
        <v>184</v>
      </c>
      <c r="V120" s="116">
        <f t="shared" si="26"/>
        <v>0</v>
      </c>
      <c r="W120" s="100"/>
    </row>
    <row r="121" spans="1:23" ht="18" customHeight="1">
      <c r="A121" s="368" t="s">
        <v>23</v>
      </c>
      <c r="B121" s="369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09">
        <f t="shared" si="55"/>
        <v>6606297.71</v>
      </c>
      <c r="N121" s="109">
        <f t="shared" si="55"/>
        <v>202443.76</v>
      </c>
      <c r="O121" s="109">
        <f t="shared" si="55"/>
        <v>1981889.313</v>
      </c>
      <c r="P121" s="109">
        <f t="shared" si="55"/>
        <v>202443.76</v>
      </c>
      <c r="Q121" s="109">
        <f t="shared" si="55"/>
        <v>1541469.4656666666</v>
      </c>
      <c r="R121" s="109">
        <f t="shared" si="55"/>
        <v>1541469.4656666666</v>
      </c>
      <c r="S121" s="109">
        <f t="shared" si="55"/>
        <v>1541469.4656666666</v>
      </c>
      <c r="T121" s="109" t="s">
        <v>261</v>
      </c>
      <c r="U121" s="6" t="s">
        <v>261</v>
      </c>
      <c r="V121" s="116">
        <f t="shared" si="26"/>
        <v>0</v>
      </c>
      <c r="W121" s="91"/>
    </row>
    <row r="122" spans="1:23" s="15" customFormat="1" ht="18" customHeight="1">
      <c r="A122" s="370" t="s">
        <v>40</v>
      </c>
      <c r="B122" s="371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1">
        <f aca="true" t="shared" si="56" ref="M122:S122">M121</f>
        <v>6606297.71</v>
      </c>
      <c r="N122" s="111">
        <f t="shared" si="56"/>
        <v>202443.76</v>
      </c>
      <c r="O122" s="111">
        <f t="shared" si="56"/>
        <v>1981889.313</v>
      </c>
      <c r="P122" s="111">
        <f t="shared" si="56"/>
        <v>202443.76</v>
      </c>
      <c r="Q122" s="111">
        <f t="shared" si="56"/>
        <v>1541469.4656666666</v>
      </c>
      <c r="R122" s="111">
        <f t="shared" si="56"/>
        <v>1541469.4656666666</v>
      </c>
      <c r="S122" s="111">
        <f t="shared" si="56"/>
        <v>1541469.4656666666</v>
      </c>
      <c r="T122" s="111" t="s">
        <v>261</v>
      </c>
      <c r="U122" s="12" t="s">
        <v>261</v>
      </c>
      <c r="V122" s="116">
        <f t="shared" si="26"/>
        <v>0</v>
      </c>
      <c r="W122" s="94"/>
    </row>
    <row r="123" spans="1:23" ht="18" customHeight="1">
      <c r="A123" s="270" t="s">
        <v>181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2"/>
      <c r="V123" s="11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8">
        <v>2402822.2</v>
      </c>
      <c r="N124" s="108">
        <v>66534.3</v>
      </c>
      <c r="O124" s="108">
        <f aca="true" t="shared" si="57" ref="O124:O187">M124*30/100</f>
        <v>720846.66</v>
      </c>
      <c r="P124" s="108">
        <f aca="true" t="shared" si="58" ref="P124:P187">N124</f>
        <v>66534.3</v>
      </c>
      <c r="Q124" s="108">
        <f t="shared" si="53"/>
        <v>560658.5133333333</v>
      </c>
      <c r="R124" s="108">
        <f aca="true" t="shared" si="59" ref="R124:S143">Q124</f>
        <v>560658.5133333333</v>
      </c>
      <c r="S124" s="108">
        <f t="shared" si="59"/>
        <v>560658.5133333333</v>
      </c>
      <c r="T124" s="108">
        <v>43829</v>
      </c>
      <c r="U124" s="24" t="s">
        <v>184</v>
      </c>
      <c r="V124" s="11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8">
        <v>2402822.2</v>
      </c>
      <c r="N125" s="108">
        <v>66534.3</v>
      </c>
      <c r="O125" s="108">
        <f t="shared" si="57"/>
        <v>720846.66</v>
      </c>
      <c r="P125" s="108">
        <f t="shared" si="58"/>
        <v>66534.3</v>
      </c>
      <c r="Q125" s="108">
        <f t="shared" si="53"/>
        <v>560658.5133333333</v>
      </c>
      <c r="R125" s="108">
        <f t="shared" si="59"/>
        <v>560658.5133333333</v>
      </c>
      <c r="S125" s="108">
        <f t="shared" si="59"/>
        <v>560658.5133333333</v>
      </c>
      <c r="T125" s="108">
        <v>43829</v>
      </c>
      <c r="U125" s="24" t="s">
        <v>184</v>
      </c>
      <c r="V125" s="11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8">
        <v>2402822.2</v>
      </c>
      <c r="N126" s="108">
        <v>66534.3</v>
      </c>
      <c r="O126" s="108">
        <f t="shared" si="57"/>
        <v>720846.66</v>
      </c>
      <c r="P126" s="108">
        <f t="shared" si="58"/>
        <v>66534.3</v>
      </c>
      <c r="Q126" s="108">
        <f t="shared" si="53"/>
        <v>560658.5133333333</v>
      </c>
      <c r="R126" s="108">
        <f t="shared" si="59"/>
        <v>560658.5133333333</v>
      </c>
      <c r="S126" s="108">
        <f t="shared" si="59"/>
        <v>560658.5133333333</v>
      </c>
      <c r="T126" s="108">
        <v>43829</v>
      </c>
      <c r="U126" s="24" t="s">
        <v>184</v>
      </c>
      <c r="V126" s="11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8">
        <v>2382394.04</v>
      </c>
      <c r="N127" s="108">
        <v>66534.3</v>
      </c>
      <c r="O127" s="108">
        <f t="shared" si="57"/>
        <v>714718.212</v>
      </c>
      <c r="P127" s="108">
        <f t="shared" si="58"/>
        <v>66534.3</v>
      </c>
      <c r="Q127" s="108">
        <f t="shared" si="53"/>
        <v>555891.9426666667</v>
      </c>
      <c r="R127" s="108">
        <f t="shared" si="59"/>
        <v>555891.9426666667</v>
      </c>
      <c r="S127" s="108">
        <f t="shared" si="59"/>
        <v>555891.9426666667</v>
      </c>
      <c r="T127" s="108">
        <v>43829</v>
      </c>
      <c r="U127" s="24" t="s">
        <v>184</v>
      </c>
      <c r="V127" s="11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8">
        <v>7183179.199999999</v>
      </c>
      <c r="N128" s="108">
        <v>199602.90000000002</v>
      </c>
      <c r="O128" s="108">
        <f t="shared" si="57"/>
        <v>2154953.76</v>
      </c>
      <c r="P128" s="108">
        <f t="shared" si="58"/>
        <v>199602.90000000002</v>
      </c>
      <c r="Q128" s="108">
        <f t="shared" si="53"/>
        <v>1676075.1466666665</v>
      </c>
      <c r="R128" s="108">
        <f t="shared" si="59"/>
        <v>1676075.1466666665</v>
      </c>
      <c r="S128" s="108">
        <f t="shared" si="59"/>
        <v>1676075.1466666665</v>
      </c>
      <c r="T128" s="108">
        <v>43829</v>
      </c>
      <c r="U128" s="24" t="s">
        <v>184</v>
      </c>
      <c r="V128" s="11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8">
        <v>2381760.38</v>
      </c>
      <c r="N129" s="108">
        <v>66534.3</v>
      </c>
      <c r="O129" s="108">
        <f t="shared" si="57"/>
        <v>714528.114</v>
      </c>
      <c r="P129" s="108">
        <f t="shared" si="58"/>
        <v>66534.3</v>
      </c>
      <c r="Q129" s="108">
        <f t="shared" si="53"/>
        <v>555744.0886666666</v>
      </c>
      <c r="R129" s="108">
        <f t="shared" si="59"/>
        <v>555744.0886666666</v>
      </c>
      <c r="S129" s="108">
        <f t="shared" si="59"/>
        <v>555744.0886666666</v>
      </c>
      <c r="T129" s="108">
        <v>43829</v>
      </c>
      <c r="U129" s="24" t="s">
        <v>184</v>
      </c>
      <c r="V129" s="11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8">
        <v>9532155.64</v>
      </c>
      <c r="N130" s="108">
        <v>266137.2</v>
      </c>
      <c r="O130" s="108">
        <f t="shared" si="57"/>
        <v>2859646.6920000003</v>
      </c>
      <c r="P130" s="108">
        <f t="shared" si="58"/>
        <v>266137.2</v>
      </c>
      <c r="Q130" s="108">
        <f t="shared" si="53"/>
        <v>2224169.6493333336</v>
      </c>
      <c r="R130" s="108">
        <f t="shared" si="59"/>
        <v>2224169.6493333336</v>
      </c>
      <c r="S130" s="108">
        <f t="shared" si="59"/>
        <v>2224169.6493333336</v>
      </c>
      <c r="T130" s="108">
        <v>43829</v>
      </c>
      <c r="U130" s="24" t="s">
        <v>184</v>
      </c>
      <c r="V130" s="11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8">
        <v>2381760.38</v>
      </c>
      <c r="N131" s="108">
        <v>66534.3</v>
      </c>
      <c r="O131" s="108">
        <f t="shared" si="57"/>
        <v>714528.114</v>
      </c>
      <c r="P131" s="108">
        <f t="shared" si="58"/>
        <v>66534.3</v>
      </c>
      <c r="Q131" s="108">
        <f t="shared" si="53"/>
        <v>555744.0886666666</v>
      </c>
      <c r="R131" s="108">
        <f t="shared" si="59"/>
        <v>555744.0886666666</v>
      </c>
      <c r="S131" s="108">
        <f t="shared" si="59"/>
        <v>555744.0886666666</v>
      </c>
      <c r="T131" s="108">
        <v>43829</v>
      </c>
      <c r="U131" s="24" t="s">
        <v>184</v>
      </c>
      <c r="V131" s="11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8">
        <v>2381760.38</v>
      </c>
      <c r="N132" s="108">
        <v>66534.3</v>
      </c>
      <c r="O132" s="108">
        <f t="shared" si="57"/>
        <v>714528.114</v>
      </c>
      <c r="P132" s="108">
        <f t="shared" si="58"/>
        <v>66534.3</v>
      </c>
      <c r="Q132" s="108">
        <f t="shared" si="53"/>
        <v>555744.0886666666</v>
      </c>
      <c r="R132" s="108">
        <f t="shared" si="59"/>
        <v>555744.0886666666</v>
      </c>
      <c r="S132" s="108">
        <f t="shared" si="59"/>
        <v>555744.0886666666</v>
      </c>
      <c r="T132" s="108">
        <v>43829</v>
      </c>
      <c r="U132" s="24" t="s">
        <v>184</v>
      </c>
      <c r="V132" s="11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8">
        <v>5590896.64</v>
      </c>
      <c r="N133" s="108">
        <v>149586.24</v>
      </c>
      <c r="O133" s="108">
        <f t="shared" si="57"/>
        <v>1677268.9919999999</v>
      </c>
      <c r="P133" s="108">
        <f t="shared" si="58"/>
        <v>149586.24</v>
      </c>
      <c r="Q133" s="108">
        <f t="shared" si="53"/>
        <v>1304542.5493333333</v>
      </c>
      <c r="R133" s="108">
        <f t="shared" si="59"/>
        <v>1304542.5493333333</v>
      </c>
      <c r="S133" s="108">
        <f t="shared" si="59"/>
        <v>1304542.5493333333</v>
      </c>
      <c r="T133" s="108">
        <v>43829</v>
      </c>
      <c r="U133" s="24" t="s">
        <v>184</v>
      </c>
      <c r="V133" s="11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8">
        <v>16596040.379999999</v>
      </c>
      <c r="N134" s="108">
        <v>460235.39999999997</v>
      </c>
      <c r="O134" s="108">
        <f t="shared" si="57"/>
        <v>4978812.114</v>
      </c>
      <c r="P134" s="108">
        <f t="shared" si="58"/>
        <v>460235.39999999997</v>
      </c>
      <c r="Q134" s="108">
        <f t="shared" si="53"/>
        <v>3872409.422</v>
      </c>
      <c r="R134" s="108">
        <f t="shared" si="59"/>
        <v>3872409.422</v>
      </c>
      <c r="S134" s="108">
        <f t="shared" si="59"/>
        <v>3872409.422</v>
      </c>
      <c r="T134" s="108">
        <v>43829</v>
      </c>
      <c r="U134" s="24" t="s">
        <v>184</v>
      </c>
      <c r="V134" s="11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8">
        <v>2755862.86</v>
      </c>
      <c r="N135" s="108">
        <v>74793.12</v>
      </c>
      <c r="O135" s="108">
        <f t="shared" si="57"/>
        <v>826758.858</v>
      </c>
      <c r="P135" s="108">
        <f t="shared" si="58"/>
        <v>74793.12</v>
      </c>
      <c r="Q135" s="108">
        <f t="shared" si="53"/>
        <v>643034.6673333333</v>
      </c>
      <c r="R135" s="108">
        <f t="shared" si="59"/>
        <v>643034.6673333333</v>
      </c>
      <c r="S135" s="108">
        <f t="shared" si="59"/>
        <v>643034.6673333333</v>
      </c>
      <c r="T135" s="108">
        <v>43829</v>
      </c>
      <c r="U135" s="24" t="s">
        <v>184</v>
      </c>
      <c r="V135" s="11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8">
        <v>2383923.32</v>
      </c>
      <c r="N136" s="108">
        <v>66534.3</v>
      </c>
      <c r="O136" s="108">
        <f t="shared" si="57"/>
        <v>715176.9959999999</v>
      </c>
      <c r="P136" s="108">
        <f t="shared" si="58"/>
        <v>66534.3</v>
      </c>
      <c r="Q136" s="108">
        <f t="shared" si="53"/>
        <v>556248.7746666666</v>
      </c>
      <c r="R136" s="108">
        <f t="shared" si="59"/>
        <v>556248.7746666666</v>
      </c>
      <c r="S136" s="108">
        <f t="shared" si="59"/>
        <v>556248.7746666666</v>
      </c>
      <c r="T136" s="108">
        <v>43829</v>
      </c>
      <c r="U136" s="24" t="s">
        <v>184</v>
      </c>
      <c r="V136" s="11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8">
        <v>2383923.32</v>
      </c>
      <c r="N137" s="108">
        <v>66534.3</v>
      </c>
      <c r="O137" s="108">
        <f t="shared" si="57"/>
        <v>715176.9959999999</v>
      </c>
      <c r="P137" s="108">
        <f t="shared" si="58"/>
        <v>66534.3</v>
      </c>
      <c r="Q137" s="108">
        <f t="shared" si="53"/>
        <v>556248.7746666666</v>
      </c>
      <c r="R137" s="108">
        <f t="shared" si="59"/>
        <v>556248.7746666666</v>
      </c>
      <c r="S137" s="108">
        <f t="shared" si="59"/>
        <v>556248.7746666666</v>
      </c>
      <c r="T137" s="108">
        <v>43829</v>
      </c>
      <c r="U137" s="24" t="s">
        <v>184</v>
      </c>
      <c r="V137" s="11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8">
        <v>3107145.32</v>
      </c>
      <c r="N138" s="108">
        <v>74793.12</v>
      </c>
      <c r="O138" s="108">
        <f t="shared" si="57"/>
        <v>932143.5959999999</v>
      </c>
      <c r="P138" s="108">
        <f t="shared" si="58"/>
        <v>74793.12</v>
      </c>
      <c r="Q138" s="108">
        <f t="shared" si="53"/>
        <v>725000.5746666667</v>
      </c>
      <c r="R138" s="108">
        <f t="shared" si="59"/>
        <v>725000.5746666667</v>
      </c>
      <c r="S138" s="108">
        <f t="shared" si="59"/>
        <v>725000.5746666667</v>
      </c>
      <c r="T138" s="108">
        <v>43829</v>
      </c>
      <c r="U138" s="24" t="s">
        <v>184</v>
      </c>
      <c r="V138" s="11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8">
        <v>19140228.939999998</v>
      </c>
      <c r="N139" s="108">
        <v>532274.4</v>
      </c>
      <c r="O139" s="108">
        <f t="shared" si="57"/>
        <v>5742068.681999999</v>
      </c>
      <c r="P139" s="108">
        <f t="shared" si="58"/>
        <v>532274.4</v>
      </c>
      <c r="Q139" s="108">
        <f t="shared" si="53"/>
        <v>4466053.419333332</v>
      </c>
      <c r="R139" s="108">
        <f t="shared" si="59"/>
        <v>4466053.419333332</v>
      </c>
      <c r="S139" s="108">
        <f t="shared" si="59"/>
        <v>4466053.419333332</v>
      </c>
      <c r="T139" s="108">
        <v>43829</v>
      </c>
      <c r="U139" s="24" t="s">
        <v>184</v>
      </c>
      <c r="V139" s="11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8">
        <v>2406530.94</v>
      </c>
      <c r="N140" s="108">
        <v>66534.3</v>
      </c>
      <c r="O140" s="108">
        <f t="shared" si="57"/>
        <v>721959.282</v>
      </c>
      <c r="P140" s="108">
        <f t="shared" si="58"/>
        <v>66534.3</v>
      </c>
      <c r="Q140" s="108">
        <f t="shared" si="53"/>
        <v>561523.8859999999</v>
      </c>
      <c r="R140" s="108">
        <f t="shared" si="59"/>
        <v>561523.8859999999</v>
      </c>
      <c r="S140" s="108">
        <f t="shared" si="59"/>
        <v>561523.8859999999</v>
      </c>
      <c r="T140" s="108">
        <v>43829</v>
      </c>
      <c r="U140" s="24" t="s">
        <v>184</v>
      </c>
      <c r="V140" s="11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8">
        <v>7026040.96</v>
      </c>
      <c r="N141" s="108">
        <v>199602.90000000002</v>
      </c>
      <c r="O141" s="108">
        <f t="shared" si="57"/>
        <v>2107812.288</v>
      </c>
      <c r="P141" s="108">
        <f t="shared" si="58"/>
        <v>199602.90000000002</v>
      </c>
      <c r="Q141" s="108">
        <f t="shared" si="53"/>
        <v>1639409.5573333334</v>
      </c>
      <c r="R141" s="108">
        <f t="shared" si="59"/>
        <v>1639409.5573333334</v>
      </c>
      <c r="S141" s="108">
        <f t="shared" si="59"/>
        <v>1639409.5573333334</v>
      </c>
      <c r="T141" s="108">
        <v>43829</v>
      </c>
      <c r="U141" s="24" t="s">
        <v>184</v>
      </c>
      <c r="V141" s="11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8">
        <v>3107145.32</v>
      </c>
      <c r="N142" s="108">
        <v>74793.12</v>
      </c>
      <c r="O142" s="108">
        <f t="shared" si="57"/>
        <v>932143.5959999999</v>
      </c>
      <c r="P142" s="108">
        <f t="shared" si="58"/>
        <v>74793.12</v>
      </c>
      <c r="Q142" s="108">
        <f t="shared" si="53"/>
        <v>725000.5746666667</v>
      </c>
      <c r="R142" s="108">
        <f t="shared" si="59"/>
        <v>725000.5746666667</v>
      </c>
      <c r="S142" s="108">
        <f t="shared" si="59"/>
        <v>725000.5746666667</v>
      </c>
      <c r="T142" s="108">
        <v>43829</v>
      </c>
      <c r="U142" s="24" t="s">
        <v>184</v>
      </c>
      <c r="V142" s="11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8">
        <v>2383923.32</v>
      </c>
      <c r="N143" s="108">
        <v>66534.3</v>
      </c>
      <c r="O143" s="108">
        <f t="shared" si="57"/>
        <v>715176.9959999999</v>
      </c>
      <c r="P143" s="108">
        <f t="shared" si="58"/>
        <v>66534.3</v>
      </c>
      <c r="Q143" s="108">
        <f t="shared" si="53"/>
        <v>556248.7746666666</v>
      </c>
      <c r="R143" s="108">
        <f t="shared" si="59"/>
        <v>556248.7746666666</v>
      </c>
      <c r="S143" s="108">
        <f t="shared" si="59"/>
        <v>556248.7746666666</v>
      </c>
      <c r="T143" s="108">
        <v>43829</v>
      </c>
      <c r="U143" s="24" t="s">
        <v>184</v>
      </c>
      <c r="V143" s="11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8">
        <v>2383923.32</v>
      </c>
      <c r="N144" s="108">
        <v>66534.3</v>
      </c>
      <c r="O144" s="108">
        <f t="shared" si="57"/>
        <v>715176.9959999999</v>
      </c>
      <c r="P144" s="108">
        <f t="shared" si="58"/>
        <v>66534.3</v>
      </c>
      <c r="Q144" s="108">
        <f t="shared" si="53"/>
        <v>556248.7746666666</v>
      </c>
      <c r="R144" s="108">
        <f aca="true" t="shared" si="62" ref="R144:S163">Q144</f>
        <v>556248.7746666666</v>
      </c>
      <c r="S144" s="108">
        <f t="shared" si="62"/>
        <v>556248.7746666666</v>
      </c>
      <c r="T144" s="108">
        <v>43829</v>
      </c>
      <c r="U144" s="24" t="s">
        <v>184</v>
      </c>
      <c r="V144" s="11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8">
        <v>3677184.44</v>
      </c>
      <c r="N145" s="108">
        <v>67865.34</v>
      </c>
      <c r="O145" s="108">
        <f t="shared" si="57"/>
        <v>1103155.332</v>
      </c>
      <c r="P145" s="108">
        <f t="shared" si="58"/>
        <v>67865.34</v>
      </c>
      <c r="Q145" s="108">
        <f t="shared" si="53"/>
        <v>858009.7026666667</v>
      </c>
      <c r="R145" s="108">
        <f t="shared" si="62"/>
        <v>858009.7026666667</v>
      </c>
      <c r="S145" s="108">
        <f t="shared" si="62"/>
        <v>858009.7026666667</v>
      </c>
      <c r="T145" s="108">
        <v>43829</v>
      </c>
      <c r="U145" s="24" t="s">
        <v>184</v>
      </c>
      <c r="V145" s="11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8">
        <v>4224766.98</v>
      </c>
      <c r="N146" s="108">
        <v>113268.2</v>
      </c>
      <c r="O146" s="108">
        <f t="shared" si="57"/>
        <v>1267430.094</v>
      </c>
      <c r="P146" s="108">
        <f t="shared" si="58"/>
        <v>113268.2</v>
      </c>
      <c r="Q146" s="108">
        <f t="shared" si="53"/>
        <v>985778.9620000002</v>
      </c>
      <c r="R146" s="108">
        <f t="shared" si="62"/>
        <v>985778.9620000002</v>
      </c>
      <c r="S146" s="108">
        <f t="shared" si="62"/>
        <v>985778.9620000002</v>
      </c>
      <c r="T146" s="108">
        <v>43829</v>
      </c>
      <c r="U146" s="24" t="s">
        <v>184</v>
      </c>
      <c r="V146" s="11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8">
        <v>2383923.32</v>
      </c>
      <c r="N147" s="108">
        <v>67865.34</v>
      </c>
      <c r="O147" s="108">
        <f t="shared" si="57"/>
        <v>715176.9959999999</v>
      </c>
      <c r="P147" s="108">
        <f t="shared" si="58"/>
        <v>67865.34</v>
      </c>
      <c r="Q147" s="108">
        <f t="shared" si="53"/>
        <v>556248.7746666666</v>
      </c>
      <c r="R147" s="108">
        <f t="shared" si="62"/>
        <v>556248.7746666666</v>
      </c>
      <c r="S147" s="108">
        <f t="shared" si="62"/>
        <v>556248.7746666666</v>
      </c>
      <c r="T147" s="108">
        <v>43829</v>
      </c>
      <c r="U147" s="24" t="s">
        <v>184</v>
      </c>
      <c r="V147" s="11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8">
        <v>3291723.28</v>
      </c>
      <c r="N148" s="108">
        <v>81904.98</v>
      </c>
      <c r="O148" s="108">
        <f t="shared" si="57"/>
        <v>987516.9839999999</v>
      </c>
      <c r="P148" s="108">
        <f t="shared" si="58"/>
        <v>81904.98</v>
      </c>
      <c r="Q148" s="108">
        <f t="shared" si="53"/>
        <v>768068.7653333334</v>
      </c>
      <c r="R148" s="108">
        <f t="shared" si="62"/>
        <v>768068.7653333334</v>
      </c>
      <c r="S148" s="108">
        <f t="shared" si="62"/>
        <v>768068.7653333334</v>
      </c>
      <c r="T148" s="108">
        <v>43829</v>
      </c>
      <c r="U148" s="24" t="s">
        <v>184</v>
      </c>
      <c r="V148" s="11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8">
        <v>2425393.24</v>
      </c>
      <c r="N149" s="108">
        <v>67865.34</v>
      </c>
      <c r="O149" s="108">
        <f t="shared" si="57"/>
        <v>727617.9720000001</v>
      </c>
      <c r="P149" s="108">
        <f t="shared" si="58"/>
        <v>67865.34</v>
      </c>
      <c r="Q149" s="108">
        <f t="shared" si="53"/>
        <v>565925.0893333334</v>
      </c>
      <c r="R149" s="108">
        <f t="shared" si="62"/>
        <v>565925.0893333334</v>
      </c>
      <c r="S149" s="108">
        <f t="shared" si="62"/>
        <v>565925.0893333334</v>
      </c>
      <c r="T149" s="108">
        <v>43829</v>
      </c>
      <c r="U149" s="24" t="s">
        <v>184</v>
      </c>
      <c r="V149" s="11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8">
        <v>2425393.24</v>
      </c>
      <c r="N150" s="108">
        <v>67865.34</v>
      </c>
      <c r="O150" s="108">
        <f t="shared" si="57"/>
        <v>727617.9720000001</v>
      </c>
      <c r="P150" s="108">
        <f t="shared" si="58"/>
        <v>67865.34</v>
      </c>
      <c r="Q150" s="108">
        <f t="shared" si="53"/>
        <v>565925.0893333334</v>
      </c>
      <c r="R150" s="108">
        <f t="shared" si="62"/>
        <v>565925.0893333334</v>
      </c>
      <c r="S150" s="108">
        <f t="shared" si="62"/>
        <v>565925.0893333334</v>
      </c>
      <c r="T150" s="108">
        <v>43829</v>
      </c>
      <c r="U150" s="24" t="s">
        <v>184</v>
      </c>
      <c r="V150" s="11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8">
        <v>2425393.24</v>
      </c>
      <c r="N151" s="108">
        <v>67865.34</v>
      </c>
      <c r="O151" s="108">
        <f t="shared" si="57"/>
        <v>727617.9720000001</v>
      </c>
      <c r="P151" s="108">
        <f t="shared" si="58"/>
        <v>67865.34</v>
      </c>
      <c r="Q151" s="108">
        <f t="shared" si="53"/>
        <v>565925.0893333334</v>
      </c>
      <c r="R151" s="108">
        <f t="shared" si="62"/>
        <v>565925.0893333334</v>
      </c>
      <c r="S151" s="108">
        <f t="shared" si="62"/>
        <v>565925.0893333334</v>
      </c>
      <c r="T151" s="108">
        <v>43829</v>
      </c>
      <c r="U151" s="24" t="s">
        <v>184</v>
      </c>
      <c r="V151" s="11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8">
        <v>2425393.24</v>
      </c>
      <c r="N152" s="108">
        <v>67865.34</v>
      </c>
      <c r="O152" s="108">
        <f t="shared" si="57"/>
        <v>727617.9720000001</v>
      </c>
      <c r="P152" s="108">
        <f t="shared" si="58"/>
        <v>67865.34</v>
      </c>
      <c r="Q152" s="108">
        <f t="shared" si="53"/>
        <v>565925.0893333334</v>
      </c>
      <c r="R152" s="108">
        <f t="shared" si="62"/>
        <v>565925.0893333334</v>
      </c>
      <c r="S152" s="108">
        <f t="shared" si="62"/>
        <v>565925.0893333334</v>
      </c>
      <c r="T152" s="108">
        <v>43829</v>
      </c>
      <c r="U152" s="24" t="s">
        <v>184</v>
      </c>
      <c r="V152" s="11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8">
        <v>2425393.24</v>
      </c>
      <c r="N153" s="108">
        <v>67865.34</v>
      </c>
      <c r="O153" s="108">
        <f t="shared" si="57"/>
        <v>727617.9720000001</v>
      </c>
      <c r="P153" s="108">
        <f t="shared" si="58"/>
        <v>67865.34</v>
      </c>
      <c r="Q153" s="108">
        <f t="shared" si="53"/>
        <v>565925.0893333334</v>
      </c>
      <c r="R153" s="108">
        <f t="shared" si="62"/>
        <v>565925.0893333334</v>
      </c>
      <c r="S153" s="108">
        <f t="shared" si="62"/>
        <v>565925.0893333334</v>
      </c>
      <c r="T153" s="108">
        <v>43829</v>
      </c>
      <c r="U153" s="24" t="s">
        <v>184</v>
      </c>
      <c r="V153" s="11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8">
        <v>2430984.08</v>
      </c>
      <c r="N154" s="108">
        <v>67865.34</v>
      </c>
      <c r="O154" s="108">
        <f t="shared" si="57"/>
        <v>729295.224</v>
      </c>
      <c r="P154" s="108">
        <f t="shared" si="58"/>
        <v>67865.34</v>
      </c>
      <c r="Q154" s="108">
        <f t="shared" si="53"/>
        <v>567229.6186666667</v>
      </c>
      <c r="R154" s="108">
        <f t="shared" si="62"/>
        <v>567229.6186666667</v>
      </c>
      <c r="S154" s="108">
        <f t="shared" si="62"/>
        <v>567229.6186666667</v>
      </c>
      <c r="T154" s="108">
        <v>43829</v>
      </c>
      <c r="U154" s="24" t="s">
        <v>184</v>
      </c>
      <c r="V154" s="11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8">
        <v>2430984.08</v>
      </c>
      <c r="N155" s="108">
        <v>67865.34</v>
      </c>
      <c r="O155" s="108">
        <f t="shared" si="57"/>
        <v>729295.224</v>
      </c>
      <c r="P155" s="108">
        <f t="shared" si="58"/>
        <v>67865.34</v>
      </c>
      <c r="Q155" s="108">
        <f t="shared" si="53"/>
        <v>567229.6186666667</v>
      </c>
      <c r="R155" s="108">
        <f t="shared" si="62"/>
        <v>567229.6186666667</v>
      </c>
      <c r="S155" s="108">
        <f t="shared" si="62"/>
        <v>567229.6186666667</v>
      </c>
      <c r="T155" s="108">
        <v>43829</v>
      </c>
      <c r="U155" s="24" t="s">
        <v>184</v>
      </c>
      <c r="V155" s="11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8">
        <v>6822064.98</v>
      </c>
      <c r="N156" s="108">
        <v>192364.78</v>
      </c>
      <c r="O156" s="108">
        <f t="shared" si="57"/>
        <v>2046619.494</v>
      </c>
      <c r="P156" s="108">
        <f t="shared" si="58"/>
        <v>192364.78</v>
      </c>
      <c r="Q156" s="108">
        <f t="shared" si="53"/>
        <v>1591815.1620000002</v>
      </c>
      <c r="R156" s="108">
        <f t="shared" si="62"/>
        <v>1591815.1620000002</v>
      </c>
      <c r="S156" s="108">
        <f t="shared" si="62"/>
        <v>1591815.1620000002</v>
      </c>
      <c r="T156" s="108">
        <v>43829</v>
      </c>
      <c r="U156" s="24" t="s">
        <v>184</v>
      </c>
      <c r="V156" s="11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8">
        <v>2369524.96</v>
      </c>
      <c r="N157" s="108">
        <v>67865.34</v>
      </c>
      <c r="O157" s="108">
        <f t="shared" si="57"/>
        <v>710857.488</v>
      </c>
      <c r="P157" s="108">
        <f t="shared" si="58"/>
        <v>67865.34</v>
      </c>
      <c r="Q157" s="108">
        <f t="shared" si="53"/>
        <v>552889.1573333334</v>
      </c>
      <c r="R157" s="108">
        <f t="shared" si="62"/>
        <v>552889.1573333334</v>
      </c>
      <c r="S157" s="108">
        <f t="shared" si="62"/>
        <v>552889.1573333334</v>
      </c>
      <c r="T157" s="108">
        <v>43829</v>
      </c>
      <c r="U157" s="24" t="s">
        <v>184</v>
      </c>
      <c r="V157" s="11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8">
        <v>4563732.6</v>
      </c>
      <c r="N158" s="108">
        <v>130115.06</v>
      </c>
      <c r="O158" s="108">
        <f t="shared" si="57"/>
        <v>1369119.78</v>
      </c>
      <c r="P158" s="108">
        <f t="shared" si="58"/>
        <v>130115.06</v>
      </c>
      <c r="Q158" s="108">
        <f t="shared" si="53"/>
        <v>1064870.9399999997</v>
      </c>
      <c r="R158" s="108">
        <f t="shared" si="62"/>
        <v>1064870.9399999997</v>
      </c>
      <c r="S158" s="108">
        <f t="shared" si="62"/>
        <v>1064870.9399999997</v>
      </c>
      <c r="T158" s="108">
        <v>43829</v>
      </c>
      <c r="U158" s="24" t="s">
        <v>184</v>
      </c>
      <c r="V158" s="11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8">
        <v>2414533.7</v>
      </c>
      <c r="N159" s="108">
        <v>67865.34</v>
      </c>
      <c r="O159" s="108">
        <f t="shared" si="57"/>
        <v>724360.11</v>
      </c>
      <c r="P159" s="108">
        <f t="shared" si="58"/>
        <v>67865.34</v>
      </c>
      <c r="Q159" s="108">
        <f t="shared" si="53"/>
        <v>563391.1966666668</v>
      </c>
      <c r="R159" s="108">
        <f t="shared" si="62"/>
        <v>563391.1966666668</v>
      </c>
      <c r="S159" s="108">
        <f t="shared" si="62"/>
        <v>563391.1966666668</v>
      </c>
      <c r="T159" s="108">
        <v>43829</v>
      </c>
      <c r="U159" s="24" t="s">
        <v>184</v>
      </c>
      <c r="V159" s="11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8">
        <v>2420214.22</v>
      </c>
      <c r="N160" s="108">
        <v>67865.34</v>
      </c>
      <c r="O160" s="108">
        <f t="shared" si="57"/>
        <v>726064.2660000001</v>
      </c>
      <c r="P160" s="108">
        <f t="shared" si="58"/>
        <v>67865.34</v>
      </c>
      <c r="Q160" s="108">
        <f t="shared" si="53"/>
        <v>564716.6513333333</v>
      </c>
      <c r="R160" s="108">
        <f t="shared" si="62"/>
        <v>564716.6513333333</v>
      </c>
      <c r="S160" s="108">
        <f t="shared" si="62"/>
        <v>564716.6513333333</v>
      </c>
      <c r="T160" s="108">
        <v>43829</v>
      </c>
      <c r="U160" s="24" t="s">
        <v>184</v>
      </c>
      <c r="V160" s="11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8">
        <v>4556806</v>
      </c>
      <c r="N161" s="108">
        <v>130115.06</v>
      </c>
      <c r="O161" s="108">
        <f t="shared" si="57"/>
        <v>1367041.8</v>
      </c>
      <c r="P161" s="108">
        <f t="shared" si="58"/>
        <v>130115.06</v>
      </c>
      <c r="Q161" s="108">
        <f t="shared" si="53"/>
        <v>1063254.7333333334</v>
      </c>
      <c r="R161" s="108">
        <f t="shared" si="62"/>
        <v>1063254.7333333334</v>
      </c>
      <c r="S161" s="108">
        <f t="shared" si="62"/>
        <v>1063254.7333333334</v>
      </c>
      <c r="T161" s="108">
        <v>43829</v>
      </c>
      <c r="U161" s="24" t="s">
        <v>184</v>
      </c>
      <c r="V161" s="11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8">
        <v>2369524.96</v>
      </c>
      <c r="N162" s="108">
        <v>67865.34</v>
      </c>
      <c r="O162" s="108">
        <f t="shared" si="57"/>
        <v>710857.488</v>
      </c>
      <c r="P162" s="108">
        <f t="shared" si="58"/>
        <v>67865.34</v>
      </c>
      <c r="Q162" s="108">
        <f t="shared" si="53"/>
        <v>552889.1573333334</v>
      </c>
      <c r="R162" s="108">
        <f t="shared" si="62"/>
        <v>552889.1573333334</v>
      </c>
      <c r="S162" s="108">
        <f t="shared" si="62"/>
        <v>552889.1573333334</v>
      </c>
      <c r="T162" s="108">
        <v>43829</v>
      </c>
      <c r="U162" s="24" t="s">
        <v>184</v>
      </c>
      <c r="V162" s="11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8">
        <v>13137762.459999999</v>
      </c>
      <c r="N163" s="108">
        <v>373498.31999999995</v>
      </c>
      <c r="O163" s="108">
        <f t="shared" si="57"/>
        <v>3941328.7379999994</v>
      </c>
      <c r="P163" s="108">
        <f t="shared" si="58"/>
        <v>373498.31999999995</v>
      </c>
      <c r="Q163" s="108">
        <f t="shared" si="53"/>
        <v>3065477.907333333</v>
      </c>
      <c r="R163" s="108">
        <f t="shared" si="62"/>
        <v>3065477.907333333</v>
      </c>
      <c r="S163" s="108">
        <f t="shared" si="62"/>
        <v>3065477.907333333</v>
      </c>
      <c r="T163" s="108">
        <v>43829</v>
      </c>
      <c r="U163" s="24" t="s">
        <v>184</v>
      </c>
      <c r="V163" s="11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8">
        <v>16628701.6</v>
      </c>
      <c r="N164" s="108">
        <v>475057.3799999999</v>
      </c>
      <c r="O164" s="108">
        <f t="shared" si="57"/>
        <v>4988610.48</v>
      </c>
      <c r="P164" s="108">
        <f t="shared" si="58"/>
        <v>475057.3799999999</v>
      </c>
      <c r="Q164" s="108">
        <f t="shared" si="53"/>
        <v>3880030.373333333</v>
      </c>
      <c r="R164" s="108">
        <f aca="true" t="shared" si="63" ref="R164:S183">Q164</f>
        <v>3880030.373333333</v>
      </c>
      <c r="S164" s="108">
        <f t="shared" si="63"/>
        <v>3880030.373333333</v>
      </c>
      <c r="T164" s="108">
        <v>43829</v>
      </c>
      <c r="U164" s="24" t="s">
        <v>184</v>
      </c>
      <c r="V164" s="11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8">
        <v>14104556.52</v>
      </c>
      <c r="N165" s="108">
        <v>407192.0399999999</v>
      </c>
      <c r="O165" s="108">
        <f t="shared" si="57"/>
        <v>4231366.955999999</v>
      </c>
      <c r="P165" s="108">
        <f t="shared" si="58"/>
        <v>407192.0399999999</v>
      </c>
      <c r="Q165" s="108">
        <f t="shared" si="53"/>
        <v>3291063.1879999996</v>
      </c>
      <c r="R165" s="108">
        <f t="shared" si="63"/>
        <v>3291063.1879999996</v>
      </c>
      <c r="S165" s="108">
        <f t="shared" si="63"/>
        <v>3291063.1879999996</v>
      </c>
      <c r="T165" s="108">
        <v>43829</v>
      </c>
      <c r="U165" s="24" t="s">
        <v>184</v>
      </c>
      <c r="V165" s="11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8">
        <v>10874314.780000001</v>
      </c>
      <c r="N166" s="108">
        <v>332671.5</v>
      </c>
      <c r="O166" s="108">
        <f t="shared" si="57"/>
        <v>3262294.4340000004</v>
      </c>
      <c r="P166" s="108">
        <f t="shared" si="58"/>
        <v>332671.5</v>
      </c>
      <c r="Q166" s="108">
        <f t="shared" si="53"/>
        <v>2537340.1153333336</v>
      </c>
      <c r="R166" s="108">
        <f t="shared" si="63"/>
        <v>2537340.1153333336</v>
      </c>
      <c r="S166" s="108">
        <f t="shared" si="63"/>
        <v>2537340.1153333336</v>
      </c>
      <c r="T166" s="108">
        <v>43829</v>
      </c>
      <c r="U166" s="24" t="s">
        <v>184</v>
      </c>
      <c r="V166" s="11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8">
        <v>4340391.640000001</v>
      </c>
      <c r="N167" s="108">
        <v>133068.6</v>
      </c>
      <c r="O167" s="108">
        <f t="shared" si="57"/>
        <v>1302117.492</v>
      </c>
      <c r="P167" s="108">
        <f t="shared" si="58"/>
        <v>133068.6</v>
      </c>
      <c r="Q167" s="108">
        <f t="shared" si="53"/>
        <v>1012758.0493333335</v>
      </c>
      <c r="R167" s="108">
        <f t="shared" si="63"/>
        <v>1012758.0493333335</v>
      </c>
      <c r="S167" s="108">
        <f t="shared" si="63"/>
        <v>1012758.0493333335</v>
      </c>
      <c r="T167" s="108">
        <v>43829</v>
      </c>
      <c r="U167" s="24" t="s">
        <v>184</v>
      </c>
      <c r="V167" s="11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8">
        <v>10872495.22</v>
      </c>
      <c r="N168" s="108">
        <v>332671.5</v>
      </c>
      <c r="O168" s="108">
        <f t="shared" si="57"/>
        <v>3261748.566</v>
      </c>
      <c r="P168" s="108">
        <f t="shared" si="58"/>
        <v>332671.5</v>
      </c>
      <c r="Q168" s="108">
        <f t="shared" si="53"/>
        <v>2536915.551333334</v>
      </c>
      <c r="R168" s="108">
        <f t="shared" si="63"/>
        <v>2536915.551333334</v>
      </c>
      <c r="S168" s="108">
        <f t="shared" si="63"/>
        <v>2536915.551333334</v>
      </c>
      <c r="T168" s="108">
        <v>43829</v>
      </c>
      <c r="U168" s="24" t="s">
        <v>184</v>
      </c>
      <c r="V168" s="11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8">
        <v>6527863.84</v>
      </c>
      <c r="N169" s="108">
        <v>199602.90000000002</v>
      </c>
      <c r="O169" s="108">
        <f t="shared" si="57"/>
        <v>1958359.1519999998</v>
      </c>
      <c r="P169" s="108">
        <f t="shared" si="58"/>
        <v>199602.90000000002</v>
      </c>
      <c r="Q169" s="108">
        <f t="shared" si="53"/>
        <v>1523168.2293333334</v>
      </c>
      <c r="R169" s="108">
        <f t="shared" si="63"/>
        <v>1523168.2293333334</v>
      </c>
      <c r="S169" s="108">
        <f t="shared" si="63"/>
        <v>1523168.2293333334</v>
      </c>
      <c r="T169" s="108">
        <v>43829</v>
      </c>
      <c r="U169" s="24" t="s">
        <v>184</v>
      </c>
      <c r="V169" s="11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8">
        <v>6511496.0600000005</v>
      </c>
      <c r="N170" s="108">
        <v>199602.90000000002</v>
      </c>
      <c r="O170" s="108">
        <f t="shared" si="57"/>
        <v>1953448.8180000002</v>
      </c>
      <c r="P170" s="108">
        <f t="shared" si="58"/>
        <v>199602.90000000002</v>
      </c>
      <c r="Q170" s="108">
        <f t="shared" si="53"/>
        <v>1519349.0806666669</v>
      </c>
      <c r="R170" s="108">
        <f t="shared" si="63"/>
        <v>1519349.0806666669</v>
      </c>
      <c r="S170" s="108">
        <f t="shared" si="63"/>
        <v>1519349.0806666669</v>
      </c>
      <c r="T170" s="108">
        <v>43829</v>
      </c>
      <c r="U170" s="24" t="s">
        <v>184</v>
      </c>
      <c r="V170" s="11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8">
        <v>6518771.9399999995</v>
      </c>
      <c r="N171" s="108">
        <v>199602.90000000002</v>
      </c>
      <c r="O171" s="108">
        <f t="shared" si="57"/>
        <v>1955631.582</v>
      </c>
      <c r="P171" s="108">
        <f t="shared" si="58"/>
        <v>199602.90000000002</v>
      </c>
      <c r="Q171" s="108">
        <f t="shared" si="53"/>
        <v>1521046.7859999996</v>
      </c>
      <c r="R171" s="108">
        <f t="shared" si="63"/>
        <v>1521046.7859999996</v>
      </c>
      <c r="S171" s="108">
        <f t="shared" si="63"/>
        <v>1521046.7859999996</v>
      </c>
      <c r="T171" s="108">
        <v>43829</v>
      </c>
      <c r="U171" s="24" t="s">
        <v>184</v>
      </c>
      <c r="V171" s="11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8">
        <v>4344631.380000001</v>
      </c>
      <c r="N172" s="108">
        <v>133068.6</v>
      </c>
      <c r="O172" s="108">
        <f t="shared" si="57"/>
        <v>1303389.414</v>
      </c>
      <c r="P172" s="108">
        <f t="shared" si="58"/>
        <v>133068.6</v>
      </c>
      <c r="Q172" s="108">
        <f t="shared" si="53"/>
        <v>1013747.3220000003</v>
      </c>
      <c r="R172" s="108">
        <f t="shared" si="63"/>
        <v>1013747.3220000003</v>
      </c>
      <c r="S172" s="108">
        <f t="shared" si="63"/>
        <v>1013747.3220000003</v>
      </c>
      <c r="T172" s="108">
        <v>43829</v>
      </c>
      <c r="U172" s="24" t="s">
        <v>184</v>
      </c>
      <c r="V172" s="11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8">
        <v>4344631.380000001</v>
      </c>
      <c r="N173" s="108">
        <v>133068.6</v>
      </c>
      <c r="O173" s="108">
        <f t="shared" si="57"/>
        <v>1303389.414</v>
      </c>
      <c r="P173" s="108">
        <f t="shared" si="58"/>
        <v>133068.6</v>
      </c>
      <c r="Q173" s="108">
        <f t="shared" si="53"/>
        <v>1013747.3220000003</v>
      </c>
      <c r="R173" s="108">
        <f t="shared" si="63"/>
        <v>1013747.3220000003</v>
      </c>
      <c r="S173" s="108">
        <f t="shared" si="63"/>
        <v>1013747.3220000003</v>
      </c>
      <c r="T173" s="108">
        <v>43829</v>
      </c>
      <c r="U173" s="24" t="s">
        <v>184</v>
      </c>
      <c r="V173" s="11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8">
        <v>2161103.92</v>
      </c>
      <c r="N174" s="108">
        <v>66534.3</v>
      </c>
      <c r="O174" s="108">
        <f t="shared" si="57"/>
        <v>648331.176</v>
      </c>
      <c r="P174" s="108">
        <f t="shared" si="58"/>
        <v>66534.3</v>
      </c>
      <c r="Q174" s="108">
        <f t="shared" si="53"/>
        <v>504257.58133333334</v>
      </c>
      <c r="R174" s="108">
        <f t="shared" si="63"/>
        <v>504257.58133333334</v>
      </c>
      <c r="S174" s="108">
        <f t="shared" si="63"/>
        <v>504257.58133333334</v>
      </c>
      <c r="T174" s="108">
        <v>43829</v>
      </c>
      <c r="U174" s="24" t="s">
        <v>184</v>
      </c>
      <c r="V174" s="11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8">
        <v>8363128.459999999</v>
      </c>
      <c r="N175" s="108">
        <v>255130.16</v>
      </c>
      <c r="O175" s="108">
        <f t="shared" si="57"/>
        <v>2508938.5379999997</v>
      </c>
      <c r="P175" s="108">
        <f t="shared" si="58"/>
        <v>255130.16</v>
      </c>
      <c r="Q175" s="108">
        <f t="shared" si="53"/>
        <v>1951396.6406666664</v>
      </c>
      <c r="R175" s="108">
        <f t="shared" si="63"/>
        <v>1951396.6406666664</v>
      </c>
      <c r="S175" s="108">
        <f t="shared" si="63"/>
        <v>1951396.6406666664</v>
      </c>
      <c r="T175" s="108">
        <v>43829</v>
      </c>
      <c r="U175" s="24" t="s">
        <v>184</v>
      </c>
      <c r="V175" s="11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8">
        <v>2156569.18</v>
      </c>
      <c r="N176" s="108">
        <v>66534.3</v>
      </c>
      <c r="O176" s="108">
        <f t="shared" si="57"/>
        <v>646970.7540000001</v>
      </c>
      <c r="P176" s="108">
        <f t="shared" si="58"/>
        <v>66534.3</v>
      </c>
      <c r="Q176" s="108">
        <f t="shared" si="53"/>
        <v>503199.4753333333</v>
      </c>
      <c r="R176" s="108">
        <f t="shared" si="63"/>
        <v>503199.4753333333</v>
      </c>
      <c r="S176" s="108">
        <f t="shared" si="63"/>
        <v>503199.4753333333</v>
      </c>
      <c r="T176" s="108">
        <v>43829</v>
      </c>
      <c r="U176" s="24" t="s">
        <v>184</v>
      </c>
      <c r="V176" s="11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8">
        <v>8363128.46</v>
      </c>
      <c r="N177" s="108">
        <v>255130.16</v>
      </c>
      <c r="O177" s="108">
        <f t="shared" si="57"/>
        <v>2508938.538</v>
      </c>
      <c r="P177" s="108">
        <f t="shared" si="58"/>
        <v>255130.16</v>
      </c>
      <c r="Q177" s="108">
        <f t="shared" si="53"/>
        <v>1951396.6406666667</v>
      </c>
      <c r="R177" s="108">
        <f t="shared" si="63"/>
        <v>1951396.6406666667</v>
      </c>
      <c r="S177" s="108">
        <f t="shared" si="63"/>
        <v>1951396.6406666667</v>
      </c>
      <c r="T177" s="108">
        <v>43829</v>
      </c>
      <c r="U177" s="24" t="s">
        <v>184</v>
      </c>
      <c r="V177" s="11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8">
        <v>2147701.48</v>
      </c>
      <c r="N178" s="108">
        <v>66534.3</v>
      </c>
      <c r="O178" s="108">
        <f t="shared" si="57"/>
        <v>644310.444</v>
      </c>
      <c r="P178" s="108">
        <f t="shared" si="58"/>
        <v>66534.3</v>
      </c>
      <c r="Q178" s="108">
        <f t="shared" si="53"/>
        <v>501130.3453333333</v>
      </c>
      <c r="R178" s="108">
        <f t="shared" si="63"/>
        <v>501130.3453333333</v>
      </c>
      <c r="S178" s="108">
        <f t="shared" si="63"/>
        <v>501130.3453333333</v>
      </c>
      <c r="T178" s="108">
        <v>43829</v>
      </c>
      <c r="U178" s="24" t="s">
        <v>184</v>
      </c>
      <c r="V178" s="11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8">
        <v>8361307.72</v>
      </c>
      <c r="N179" s="108">
        <v>255130.16</v>
      </c>
      <c r="O179" s="108">
        <f t="shared" si="57"/>
        <v>2508392.316</v>
      </c>
      <c r="P179" s="108">
        <f t="shared" si="58"/>
        <v>255130.16</v>
      </c>
      <c r="Q179" s="108">
        <f t="shared" si="53"/>
        <v>1950971.8013333331</v>
      </c>
      <c r="R179" s="108">
        <f t="shared" si="63"/>
        <v>1950971.8013333331</v>
      </c>
      <c r="S179" s="108">
        <f t="shared" si="63"/>
        <v>1950971.8013333331</v>
      </c>
      <c r="T179" s="108">
        <v>43829</v>
      </c>
      <c r="U179" s="24" t="s">
        <v>184</v>
      </c>
      <c r="V179" s="11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8">
        <v>8443325.98</v>
      </c>
      <c r="N180" s="108">
        <v>255130.16</v>
      </c>
      <c r="O180" s="108">
        <f t="shared" si="57"/>
        <v>2532997.794</v>
      </c>
      <c r="P180" s="108">
        <f t="shared" si="58"/>
        <v>255130.16</v>
      </c>
      <c r="Q180" s="108">
        <f t="shared" si="53"/>
        <v>1970109.3953333336</v>
      </c>
      <c r="R180" s="108">
        <f t="shared" si="63"/>
        <v>1970109.3953333336</v>
      </c>
      <c r="S180" s="108">
        <f t="shared" si="63"/>
        <v>1970109.3953333336</v>
      </c>
      <c r="T180" s="108">
        <v>43829</v>
      </c>
      <c r="U180" s="24" t="s">
        <v>184</v>
      </c>
      <c r="V180" s="11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8">
        <v>2103446.76</v>
      </c>
      <c r="N181" s="108">
        <v>63782.54</v>
      </c>
      <c r="O181" s="108">
        <f t="shared" si="57"/>
        <v>631034.0279999999</v>
      </c>
      <c r="P181" s="108">
        <f t="shared" si="58"/>
        <v>63782.54</v>
      </c>
      <c r="Q181" s="108">
        <f t="shared" si="53"/>
        <v>490804.24399999995</v>
      </c>
      <c r="R181" s="108">
        <f t="shared" si="63"/>
        <v>490804.24399999995</v>
      </c>
      <c r="S181" s="108">
        <f t="shared" si="63"/>
        <v>490804.24399999995</v>
      </c>
      <c r="T181" s="108">
        <v>43829</v>
      </c>
      <c r="U181" s="24" t="s">
        <v>184</v>
      </c>
      <c r="V181" s="11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8">
        <v>2144710.18</v>
      </c>
      <c r="N182" s="108">
        <v>66534.3</v>
      </c>
      <c r="O182" s="108">
        <f t="shared" si="57"/>
        <v>643413.054</v>
      </c>
      <c r="P182" s="108">
        <f t="shared" si="58"/>
        <v>66534.3</v>
      </c>
      <c r="Q182" s="108">
        <f t="shared" si="53"/>
        <v>500432.3753333334</v>
      </c>
      <c r="R182" s="108">
        <f t="shared" si="63"/>
        <v>500432.3753333334</v>
      </c>
      <c r="S182" s="108">
        <f t="shared" si="63"/>
        <v>500432.3753333334</v>
      </c>
      <c r="T182" s="108">
        <v>43829</v>
      </c>
      <c r="U182" s="24" t="s">
        <v>184</v>
      </c>
      <c r="V182" s="11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8">
        <v>4340391.640000001</v>
      </c>
      <c r="N183" s="108">
        <v>133068.6</v>
      </c>
      <c r="O183" s="108">
        <f t="shared" si="57"/>
        <v>1302117.492</v>
      </c>
      <c r="P183" s="108">
        <f t="shared" si="58"/>
        <v>133068.6</v>
      </c>
      <c r="Q183" s="108">
        <f aca="true" t="shared" si="64" ref="Q183:Q219">(M183-O183)/3</f>
        <v>1012758.0493333335</v>
      </c>
      <c r="R183" s="108">
        <f t="shared" si="63"/>
        <v>1012758.0493333335</v>
      </c>
      <c r="S183" s="108">
        <f t="shared" si="63"/>
        <v>1012758.0493333335</v>
      </c>
      <c r="T183" s="108">
        <v>43829</v>
      </c>
      <c r="U183" s="24" t="s">
        <v>184</v>
      </c>
      <c r="V183" s="11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8">
        <v>2145906.7</v>
      </c>
      <c r="N184" s="108">
        <v>66534.3</v>
      </c>
      <c r="O184" s="108">
        <f t="shared" si="57"/>
        <v>643772.0100000001</v>
      </c>
      <c r="P184" s="108">
        <f t="shared" si="58"/>
        <v>66534.3</v>
      </c>
      <c r="Q184" s="108">
        <f t="shared" si="64"/>
        <v>500711.5633333333</v>
      </c>
      <c r="R184" s="108">
        <f aca="true" t="shared" si="65" ref="R184:S203">Q184</f>
        <v>500711.5633333333</v>
      </c>
      <c r="S184" s="108">
        <f t="shared" si="65"/>
        <v>500711.5633333333</v>
      </c>
      <c r="T184" s="108">
        <v>43829</v>
      </c>
      <c r="U184" s="24" t="s">
        <v>184</v>
      </c>
      <c r="V184" s="11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8">
        <v>2142261.68</v>
      </c>
      <c r="N185" s="108">
        <v>66534.3</v>
      </c>
      <c r="O185" s="108">
        <f t="shared" si="57"/>
        <v>642678.5040000001</v>
      </c>
      <c r="P185" s="108">
        <f t="shared" si="58"/>
        <v>66534.3</v>
      </c>
      <c r="Q185" s="108">
        <f t="shared" si="64"/>
        <v>499861.0586666667</v>
      </c>
      <c r="R185" s="108">
        <f t="shared" si="65"/>
        <v>499861.0586666667</v>
      </c>
      <c r="S185" s="108">
        <f t="shared" si="65"/>
        <v>499861.0586666667</v>
      </c>
      <c r="T185" s="108">
        <v>43829</v>
      </c>
      <c r="U185" s="24" t="s">
        <v>184</v>
      </c>
      <c r="V185" s="11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8">
        <v>2142261.68</v>
      </c>
      <c r="N186" s="108">
        <v>66534.3</v>
      </c>
      <c r="O186" s="108">
        <f t="shared" si="57"/>
        <v>642678.5040000001</v>
      </c>
      <c r="P186" s="108">
        <f t="shared" si="58"/>
        <v>66534.3</v>
      </c>
      <c r="Q186" s="108">
        <f t="shared" si="64"/>
        <v>499861.0586666667</v>
      </c>
      <c r="R186" s="108">
        <f t="shared" si="65"/>
        <v>499861.0586666667</v>
      </c>
      <c r="S186" s="108">
        <f t="shared" si="65"/>
        <v>499861.0586666667</v>
      </c>
      <c r="T186" s="108">
        <v>43829</v>
      </c>
      <c r="U186" s="24" t="s">
        <v>184</v>
      </c>
      <c r="V186" s="11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8">
        <v>2399316.42</v>
      </c>
      <c r="N187" s="108">
        <v>74793.12</v>
      </c>
      <c r="O187" s="108">
        <f t="shared" si="57"/>
        <v>719794.926</v>
      </c>
      <c r="P187" s="108">
        <f t="shared" si="58"/>
        <v>74793.12</v>
      </c>
      <c r="Q187" s="108">
        <f t="shared" si="64"/>
        <v>559840.498</v>
      </c>
      <c r="R187" s="108">
        <f t="shared" si="65"/>
        <v>559840.498</v>
      </c>
      <c r="S187" s="108">
        <f t="shared" si="65"/>
        <v>559840.498</v>
      </c>
      <c r="T187" s="108">
        <v>43829</v>
      </c>
      <c r="U187" s="24" t="s">
        <v>184</v>
      </c>
      <c r="V187" s="11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8">
        <v>2141973.76</v>
      </c>
      <c r="N188" s="109">
        <v>66534.3</v>
      </c>
      <c r="O188" s="108">
        <f aca="true" t="shared" si="66" ref="O188:O219">M188*30/100</f>
        <v>642592.128</v>
      </c>
      <c r="P188" s="108">
        <f aca="true" t="shared" si="67" ref="P188:P219">N188</f>
        <v>66534.3</v>
      </c>
      <c r="Q188" s="108">
        <f t="shared" si="64"/>
        <v>499793.87733333325</v>
      </c>
      <c r="R188" s="108">
        <f t="shared" si="65"/>
        <v>499793.87733333325</v>
      </c>
      <c r="S188" s="108">
        <f t="shared" si="65"/>
        <v>499793.87733333325</v>
      </c>
      <c r="T188" s="108">
        <v>43829</v>
      </c>
      <c r="U188" s="24" t="s">
        <v>184</v>
      </c>
      <c r="V188" s="11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8">
        <v>6488502.58</v>
      </c>
      <c r="N189" s="109">
        <v>199602.9</v>
      </c>
      <c r="O189" s="108">
        <f t="shared" si="66"/>
        <v>1946550.774</v>
      </c>
      <c r="P189" s="108">
        <f t="shared" si="67"/>
        <v>199602.9</v>
      </c>
      <c r="Q189" s="108">
        <f t="shared" si="64"/>
        <v>1513983.9353333332</v>
      </c>
      <c r="R189" s="108">
        <f t="shared" si="65"/>
        <v>1513983.9353333332</v>
      </c>
      <c r="S189" s="108">
        <f t="shared" si="65"/>
        <v>1513983.9353333332</v>
      </c>
      <c r="T189" s="108">
        <v>43829</v>
      </c>
      <c r="U189" s="24" t="s">
        <v>184</v>
      </c>
      <c r="V189" s="11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8">
        <v>2141710.62</v>
      </c>
      <c r="N190" s="109">
        <v>66534.3</v>
      </c>
      <c r="O190" s="108">
        <f t="shared" si="66"/>
        <v>642513.186</v>
      </c>
      <c r="P190" s="108">
        <f t="shared" si="67"/>
        <v>66534.3</v>
      </c>
      <c r="Q190" s="108">
        <f t="shared" si="64"/>
        <v>499732.47800000006</v>
      </c>
      <c r="R190" s="108">
        <f t="shared" si="65"/>
        <v>499732.47800000006</v>
      </c>
      <c r="S190" s="108">
        <f t="shared" si="65"/>
        <v>499732.47800000006</v>
      </c>
      <c r="T190" s="108">
        <v>43829</v>
      </c>
      <c r="U190" s="24" t="s">
        <v>184</v>
      </c>
      <c r="V190" s="11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8">
        <v>2141977.3</v>
      </c>
      <c r="N191" s="109">
        <v>66534.3</v>
      </c>
      <c r="O191" s="108">
        <f t="shared" si="66"/>
        <v>642593.19</v>
      </c>
      <c r="P191" s="108">
        <f t="shared" si="67"/>
        <v>66534.3</v>
      </c>
      <c r="Q191" s="108">
        <f t="shared" si="64"/>
        <v>499794.7033333333</v>
      </c>
      <c r="R191" s="108">
        <f t="shared" si="65"/>
        <v>499794.7033333333</v>
      </c>
      <c r="S191" s="108">
        <f t="shared" si="65"/>
        <v>499794.7033333333</v>
      </c>
      <c r="T191" s="108">
        <v>43829</v>
      </c>
      <c r="U191" s="24" t="s">
        <v>184</v>
      </c>
      <c r="V191" s="11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8">
        <v>2149302.74</v>
      </c>
      <c r="N192" s="109">
        <v>66534.3</v>
      </c>
      <c r="O192" s="108">
        <f t="shared" si="66"/>
        <v>644790.822</v>
      </c>
      <c r="P192" s="108">
        <f t="shared" si="67"/>
        <v>66534.3</v>
      </c>
      <c r="Q192" s="108">
        <f t="shared" si="64"/>
        <v>501503.97266666667</v>
      </c>
      <c r="R192" s="108">
        <f t="shared" si="65"/>
        <v>501503.97266666667</v>
      </c>
      <c r="S192" s="108">
        <f t="shared" si="65"/>
        <v>501503.97266666667</v>
      </c>
      <c r="T192" s="108">
        <v>43829</v>
      </c>
      <c r="U192" s="24" t="s">
        <v>184</v>
      </c>
      <c r="V192" s="11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8">
        <v>6488502.58</v>
      </c>
      <c r="N193" s="109">
        <v>199602.9</v>
      </c>
      <c r="O193" s="108">
        <f t="shared" si="66"/>
        <v>1946550.774</v>
      </c>
      <c r="P193" s="108">
        <f t="shared" si="67"/>
        <v>199602.9</v>
      </c>
      <c r="Q193" s="108">
        <f t="shared" si="64"/>
        <v>1513983.9353333332</v>
      </c>
      <c r="R193" s="108">
        <f t="shared" si="65"/>
        <v>1513983.9353333332</v>
      </c>
      <c r="S193" s="108">
        <f t="shared" si="65"/>
        <v>1513983.9353333332</v>
      </c>
      <c r="T193" s="108">
        <v>43829</v>
      </c>
      <c r="U193" s="24" t="s">
        <v>184</v>
      </c>
      <c r="V193" s="11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8">
        <v>6488502.58</v>
      </c>
      <c r="N194" s="109">
        <v>199602.9</v>
      </c>
      <c r="O194" s="108">
        <f t="shared" si="66"/>
        <v>1946550.774</v>
      </c>
      <c r="P194" s="108">
        <f t="shared" si="67"/>
        <v>199602.9</v>
      </c>
      <c r="Q194" s="108">
        <f t="shared" si="64"/>
        <v>1513983.9353333332</v>
      </c>
      <c r="R194" s="108">
        <f t="shared" si="65"/>
        <v>1513983.9353333332</v>
      </c>
      <c r="S194" s="108">
        <f t="shared" si="65"/>
        <v>1513983.9353333332</v>
      </c>
      <c r="T194" s="108">
        <v>43829</v>
      </c>
      <c r="U194" s="24" t="s">
        <v>184</v>
      </c>
      <c r="V194" s="11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8">
        <v>2141977.3</v>
      </c>
      <c r="N195" s="109">
        <v>66534.3</v>
      </c>
      <c r="O195" s="108">
        <f t="shared" si="66"/>
        <v>642593.19</v>
      </c>
      <c r="P195" s="108">
        <f t="shared" si="67"/>
        <v>66534.3</v>
      </c>
      <c r="Q195" s="108">
        <f t="shared" si="64"/>
        <v>499794.7033333333</v>
      </c>
      <c r="R195" s="108">
        <f t="shared" si="65"/>
        <v>499794.7033333333</v>
      </c>
      <c r="S195" s="108">
        <f t="shared" si="65"/>
        <v>499794.7033333333</v>
      </c>
      <c r="T195" s="108">
        <v>43829</v>
      </c>
      <c r="U195" s="24" t="s">
        <v>184</v>
      </c>
      <c r="V195" s="11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8">
        <v>2141977.3</v>
      </c>
      <c r="N196" s="109">
        <v>66534.3</v>
      </c>
      <c r="O196" s="108">
        <f t="shared" si="66"/>
        <v>642593.19</v>
      </c>
      <c r="P196" s="108">
        <f t="shared" si="67"/>
        <v>66534.3</v>
      </c>
      <c r="Q196" s="108">
        <f t="shared" si="64"/>
        <v>499794.7033333333</v>
      </c>
      <c r="R196" s="108">
        <f t="shared" si="65"/>
        <v>499794.7033333333</v>
      </c>
      <c r="S196" s="108">
        <f t="shared" si="65"/>
        <v>499794.7033333333</v>
      </c>
      <c r="T196" s="108">
        <v>43829</v>
      </c>
      <c r="U196" s="24" t="s">
        <v>184</v>
      </c>
      <c r="V196" s="11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8">
        <v>4314706.58</v>
      </c>
      <c r="N197" s="109">
        <v>133068.6</v>
      </c>
      <c r="O197" s="108">
        <f t="shared" si="66"/>
        <v>1294411.9740000002</v>
      </c>
      <c r="P197" s="108">
        <f t="shared" si="67"/>
        <v>133068.6</v>
      </c>
      <c r="Q197" s="108">
        <f t="shared" si="64"/>
        <v>1006764.8686666666</v>
      </c>
      <c r="R197" s="108">
        <f t="shared" si="65"/>
        <v>1006764.8686666666</v>
      </c>
      <c r="S197" s="108">
        <f t="shared" si="65"/>
        <v>1006764.8686666666</v>
      </c>
      <c r="T197" s="108">
        <v>43829</v>
      </c>
      <c r="U197" s="24" t="s">
        <v>184</v>
      </c>
      <c r="V197" s="11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8">
        <v>2141904.14</v>
      </c>
      <c r="N198" s="109">
        <v>66534.3</v>
      </c>
      <c r="O198" s="108">
        <f t="shared" si="66"/>
        <v>642571.2420000001</v>
      </c>
      <c r="P198" s="108">
        <f t="shared" si="67"/>
        <v>66534.3</v>
      </c>
      <c r="Q198" s="108">
        <f t="shared" si="64"/>
        <v>499777.6326666667</v>
      </c>
      <c r="R198" s="108">
        <f t="shared" si="65"/>
        <v>499777.6326666667</v>
      </c>
      <c r="S198" s="108">
        <f t="shared" si="65"/>
        <v>499777.6326666667</v>
      </c>
      <c r="T198" s="108">
        <v>43829</v>
      </c>
      <c r="U198" s="24" t="s">
        <v>184</v>
      </c>
      <c r="V198" s="11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8">
        <v>2141904.14</v>
      </c>
      <c r="N199" s="109">
        <v>66534.3</v>
      </c>
      <c r="O199" s="108">
        <f t="shared" si="66"/>
        <v>642571.2420000001</v>
      </c>
      <c r="P199" s="108">
        <f t="shared" si="67"/>
        <v>66534.3</v>
      </c>
      <c r="Q199" s="108">
        <f t="shared" si="64"/>
        <v>499777.6326666667</v>
      </c>
      <c r="R199" s="108">
        <f t="shared" si="65"/>
        <v>499777.6326666667</v>
      </c>
      <c r="S199" s="108">
        <f t="shared" si="65"/>
        <v>499777.6326666667</v>
      </c>
      <c r="T199" s="108">
        <v>43829</v>
      </c>
      <c r="U199" s="24" t="s">
        <v>184</v>
      </c>
      <c r="V199" s="11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8">
        <v>2141904.14</v>
      </c>
      <c r="N200" s="109">
        <v>66534.3</v>
      </c>
      <c r="O200" s="108">
        <f t="shared" si="66"/>
        <v>642571.2420000001</v>
      </c>
      <c r="P200" s="108">
        <f t="shared" si="67"/>
        <v>66534.3</v>
      </c>
      <c r="Q200" s="108">
        <f t="shared" si="64"/>
        <v>499777.6326666667</v>
      </c>
      <c r="R200" s="108">
        <f t="shared" si="65"/>
        <v>499777.6326666667</v>
      </c>
      <c r="S200" s="108">
        <f t="shared" si="65"/>
        <v>499777.6326666667</v>
      </c>
      <c r="T200" s="108">
        <v>43829</v>
      </c>
      <c r="U200" s="24" t="s">
        <v>184</v>
      </c>
      <c r="V200" s="11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8">
        <v>4326927.84</v>
      </c>
      <c r="N201" s="109">
        <v>133068.6</v>
      </c>
      <c r="O201" s="108">
        <f t="shared" si="66"/>
        <v>1298078.352</v>
      </c>
      <c r="P201" s="108">
        <f t="shared" si="67"/>
        <v>133068.6</v>
      </c>
      <c r="Q201" s="108">
        <f t="shared" si="64"/>
        <v>1009616.4959999999</v>
      </c>
      <c r="R201" s="108">
        <f t="shared" si="65"/>
        <v>1009616.4959999999</v>
      </c>
      <c r="S201" s="108">
        <f t="shared" si="65"/>
        <v>1009616.4959999999</v>
      </c>
      <c r="T201" s="108">
        <v>43829</v>
      </c>
      <c r="U201" s="24" t="s">
        <v>184</v>
      </c>
      <c r="V201" s="11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8">
        <v>2159010.6</v>
      </c>
      <c r="N202" s="109">
        <v>66534.3</v>
      </c>
      <c r="O202" s="108">
        <f t="shared" si="66"/>
        <v>647703.18</v>
      </c>
      <c r="P202" s="108">
        <f t="shared" si="67"/>
        <v>66534.3</v>
      </c>
      <c r="Q202" s="108">
        <f t="shared" si="64"/>
        <v>503769.13999999996</v>
      </c>
      <c r="R202" s="108">
        <f t="shared" si="65"/>
        <v>503769.13999999996</v>
      </c>
      <c r="S202" s="108">
        <f t="shared" si="65"/>
        <v>503769.13999999996</v>
      </c>
      <c r="T202" s="108">
        <v>43829</v>
      </c>
      <c r="U202" s="24" t="s">
        <v>184</v>
      </c>
      <c r="V202" s="11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09">
        <v>2363422</v>
      </c>
      <c r="N203" s="109">
        <v>74793.12</v>
      </c>
      <c r="O203" s="108">
        <f t="shared" si="66"/>
        <v>709026.6</v>
      </c>
      <c r="P203" s="108">
        <f t="shared" si="67"/>
        <v>74793.12</v>
      </c>
      <c r="Q203" s="108">
        <f t="shared" si="64"/>
        <v>551465.1333333333</v>
      </c>
      <c r="R203" s="108">
        <f t="shared" si="65"/>
        <v>551465.1333333333</v>
      </c>
      <c r="S203" s="108">
        <f t="shared" si="65"/>
        <v>551465.1333333333</v>
      </c>
      <c r="T203" s="108">
        <v>43829</v>
      </c>
      <c r="U203" s="24" t="s">
        <v>184</v>
      </c>
      <c r="V203" s="11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09">
        <v>8652927.02</v>
      </c>
      <c r="N204" s="109">
        <v>266137.2</v>
      </c>
      <c r="O204" s="108">
        <f t="shared" si="66"/>
        <v>2595878.106</v>
      </c>
      <c r="P204" s="108">
        <f t="shared" si="67"/>
        <v>266137.2</v>
      </c>
      <c r="Q204" s="108">
        <f t="shared" si="64"/>
        <v>2019016.3046666663</v>
      </c>
      <c r="R204" s="108">
        <f aca="true" t="shared" si="69" ref="R204:S219">Q204</f>
        <v>2019016.3046666663</v>
      </c>
      <c r="S204" s="108">
        <f t="shared" si="69"/>
        <v>2019016.3046666663</v>
      </c>
      <c r="T204" s="108">
        <v>43829</v>
      </c>
      <c r="U204" s="24" t="s">
        <v>184</v>
      </c>
      <c r="V204" s="11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8">
        <v>8609886.52</v>
      </c>
      <c r="N205" s="109">
        <v>266137.2</v>
      </c>
      <c r="O205" s="108">
        <f t="shared" si="66"/>
        <v>2582965.956</v>
      </c>
      <c r="P205" s="108">
        <f t="shared" si="67"/>
        <v>266137.2</v>
      </c>
      <c r="Q205" s="108">
        <f t="shared" si="64"/>
        <v>2008973.521333333</v>
      </c>
      <c r="R205" s="108">
        <f t="shared" si="69"/>
        <v>2008973.521333333</v>
      </c>
      <c r="S205" s="108">
        <f t="shared" si="69"/>
        <v>2008973.521333333</v>
      </c>
      <c r="T205" s="108">
        <v>43829</v>
      </c>
      <c r="U205" s="24" t="s">
        <v>184</v>
      </c>
      <c r="V205" s="11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8">
        <v>6468901.6</v>
      </c>
      <c r="N206" s="109">
        <v>199602.9</v>
      </c>
      <c r="O206" s="108">
        <f t="shared" si="66"/>
        <v>1940670.48</v>
      </c>
      <c r="P206" s="108">
        <f t="shared" si="67"/>
        <v>199602.9</v>
      </c>
      <c r="Q206" s="108">
        <f t="shared" si="64"/>
        <v>1509410.373333333</v>
      </c>
      <c r="R206" s="108">
        <f t="shared" si="69"/>
        <v>1509410.373333333</v>
      </c>
      <c r="S206" s="108">
        <f t="shared" si="69"/>
        <v>1509410.373333333</v>
      </c>
      <c r="T206" s="108">
        <v>43829</v>
      </c>
      <c r="U206" s="24" t="s">
        <v>184</v>
      </c>
      <c r="V206" s="11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8">
        <v>8652287.459999999</v>
      </c>
      <c r="N207" s="109">
        <v>266137.2</v>
      </c>
      <c r="O207" s="108">
        <f t="shared" si="66"/>
        <v>2595686.238</v>
      </c>
      <c r="P207" s="108">
        <f t="shared" si="67"/>
        <v>266137.2</v>
      </c>
      <c r="Q207" s="108">
        <f t="shared" si="64"/>
        <v>2018867.0739999998</v>
      </c>
      <c r="R207" s="108">
        <f t="shared" si="69"/>
        <v>2018867.0739999998</v>
      </c>
      <c r="S207" s="108">
        <f t="shared" si="69"/>
        <v>2018867.0739999998</v>
      </c>
      <c r="T207" s="108">
        <v>43829</v>
      </c>
      <c r="U207" s="24" t="s">
        <v>184</v>
      </c>
      <c r="V207" s="11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8">
        <v>8643213.26</v>
      </c>
      <c r="N208" s="109">
        <v>266137.2</v>
      </c>
      <c r="O208" s="108">
        <f t="shared" si="66"/>
        <v>2592963.9779999997</v>
      </c>
      <c r="P208" s="108">
        <f t="shared" si="67"/>
        <v>266137.2</v>
      </c>
      <c r="Q208" s="108">
        <f t="shared" si="64"/>
        <v>2016749.7606666666</v>
      </c>
      <c r="R208" s="108">
        <f t="shared" si="69"/>
        <v>2016749.7606666666</v>
      </c>
      <c r="S208" s="108">
        <f t="shared" si="69"/>
        <v>2016749.7606666666</v>
      </c>
      <c r="T208" s="108">
        <v>43829</v>
      </c>
      <c r="U208" s="24" t="s">
        <v>184</v>
      </c>
      <c r="V208" s="11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6">
        <v>4775272.38</v>
      </c>
      <c r="N209" s="109">
        <v>149586.24</v>
      </c>
      <c r="O209" s="108">
        <f t="shared" si="66"/>
        <v>1432581.7140000002</v>
      </c>
      <c r="P209" s="108">
        <f t="shared" si="67"/>
        <v>149586.24</v>
      </c>
      <c r="Q209" s="108">
        <f t="shared" si="64"/>
        <v>1114230.2219999998</v>
      </c>
      <c r="R209" s="108">
        <f t="shared" si="69"/>
        <v>1114230.2219999998</v>
      </c>
      <c r="S209" s="108">
        <f t="shared" si="69"/>
        <v>1114230.2219999998</v>
      </c>
      <c r="T209" s="108">
        <v>43829</v>
      </c>
      <c r="U209" s="24" t="s">
        <v>184</v>
      </c>
      <c r="V209" s="11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8">
        <v>2670042.64</v>
      </c>
      <c r="N210" s="109">
        <v>66534.3</v>
      </c>
      <c r="O210" s="108">
        <f t="shared" si="66"/>
        <v>801012.792</v>
      </c>
      <c r="P210" s="108">
        <f t="shared" si="67"/>
        <v>66534.3</v>
      </c>
      <c r="Q210" s="108">
        <f t="shared" si="64"/>
        <v>623009.9493333334</v>
      </c>
      <c r="R210" s="108">
        <f t="shared" si="69"/>
        <v>623009.9493333334</v>
      </c>
      <c r="S210" s="108">
        <f t="shared" si="69"/>
        <v>623009.9493333334</v>
      </c>
      <c r="T210" s="108">
        <v>43829</v>
      </c>
      <c r="U210" s="24" t="s">
        <v>184</v>
      </c>
      <c r="V210" s="11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8">
        <v>2402822.2</v>
      </c>
      <c r="N211" s="108">
        <v>66534.3</v>
      </c>
      <c r="O211" s="110">
        <f t="shared" si="66"/>
        <v>720846.66</v>
      </c>
      <c r="P211" s="108">
        <f t="shared" si="67"/>
        <v>66534.3</v>
      </c>
      <c r="Q211" s="110">
        <f t="shared" si="64"/>
        <v>560658.5133333333</v>
      </c>
      <c r="R211" s="110">
        <f t="shared" si="69"/>
        <v>560658.5133333333</v>
      </c>
      <c r="S211" s="110">
        <f t="shared" si="69"/>
        <v>560658.5133333333</v>
      </c>
      <c r="T211" s="110">
        <v>43829</v>
      </c>
      <c r="U211" s="36" t="s">
        <v>184</v>
      </c>
      <c r="V211" s="116">
        <f t="shared" si="70"/>
        <v>0</v>
      </c>
      <c r="W211" s="100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8">
        <v>2478450.76</v>
      </c>
      <c r="N212" s="108">
        <v>66534.3</v>
      </c>
      <c r="O212" s="110">
        <f t="shared" si="66"/>
        <v>743535.228</v>
      </c>
      <c r="P212" s="108">
        <f t="shared" si="67"/>
        <v>66534.3</v>
      </c>
      <c r="Q212" s="110">
        <f t="shared" si="64"/>
        <v>578305.1773333332</v>
      </c>
      <c r="R212" s="110">
        <f t="shared" si="69"/>
        <v>578305.1773333332</v>
      </c>
      <c r="S212" s="110">
        <f t="shared" si="69"/>
        <v>578305.1773333332</v>
      </c>
      <c r="T212" s="110">
        <v>43829</v>
      </c>
      <c r="U212" s="36" t="s">
        <v>184</v>
      </c>
      <c r="V212" s="116">
        <f t="shared" si="70"/>
        <v>0</v>
      </c>
      <c r="W212" s="100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8">
        <v>7026040.96</v>
      </c>
      <c r="N213" s="108">
        <v>199602.90000000002</v>
      </c>
      <c r="O213" s="110">
        <f t="shared" si="66"/>
        <v>2107812.288</v>
      </c>
      <c r="P213" s="108">
        <f t="shared" si="67"/>
        <v>199602.90000000002</v>
      </c>
      <c r="Q213" s="110">
        <f t="shared" si="64"/>
        <v>1639409.5573333334</v>
      </c>
      <c r="R213" s="110">
        <f t="shared" si="69"/>
        <v>1639409.5573333334</v>
      </c>
      <c r="S213" s="110">
        <f t="shared" si="69"/>
        <v>1639409.5573333334</v>
      </c>
      <c r="T213" s="110">
        <v>43829</v>
      </c>
      <c r="U213" s="36" t="s">
        <v>184</v>
      </c>
      <c r="V213" s="116">
        <f t="shared" si="70"/>
        <v>0</v>
      </c>
      <c r="W213" s="100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09">
        <v>7019333.84</v>
      </c>
      <c r="N214" s="108">
        <v>199602.90000000002</v>
      </c>
      <c r="O214" s="110">
        <f t="shared" si="66"/>
        <v>2105800.152</v>
      </c>
      <c r="P214" s="108">
        <f t="shared" si="67"/>
        <v>199602.90000000002</v>
      </c>
      <c r="Q214" s="110">
        <f>(M214-O214)/3</f>
        <v>1637844.5626666667</v>
      </c>
      <c r="R214" s="110">
        <f>Q214</f>
        <v>1637844.5626666667</v>
      </c>
      <c r="S214" s="110">
        <f>R214</f>
        <v>1637844.5626666667</v>
      </c>
      <c r="T214" s="110">
        <v>43829</v>
      </c>
      <c r="U214" s="36" t="s">
        <v>184</v>
      </c>
      <c r="V214" s="11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8">
        <v>3680239.46</v>
      </c>
      <c r="N215" s="108">
        <v>66534.3</v>
      </c>
      <c r="O215" s="110">
        <f t="shared" si="66"/>
        <v>1104071.838</v>
      </c>
      <c r="P215" s="108">
        <f t="shared" si="67"/>
        <v>66534.3</v>
      </c>
      <c r="Q215" s="110">
        <f>(M215-O215)/3</f>
        <v>858722.5406666667</v>
      </c>
      <c r="R215" s="110">
        <f>Q215</f>
        <v>858722.5406666667</v>
      </c>
      <c r="S215" s="110">
        <f>R215</f>
        <v>858722.5406666667</v>
      </c>
      <c r="T215" s="110">
        <v>43829</v>
      </c>
      <c r="U215" s="36" t="s">
        <v>184</v>
      </c>
      <c r="V215" s="116">
        <f t="shared" si="70"/>
        <v>0</v>
      </c>
      <c r="W215" s="100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8">
        <v>14104556.52</v>
      </c>
      <c r="N216" s="108">
        <v>399205.8</v>
      </c>
      <c r="O216" s="110">
        <f t="shared" si="66"/>
        <v>4231366.955999999</v>
      </c>
      <c r="P216" s="108">
        <f t="shared" si="67"/>
        <v>399205.8</v>
      </c>
      <c r="Q216" s="110">
        <f t="shared" si="64"/>
        <v>3291063.1879999996</v>
      </c>
      <c r="R216" s="110">
        <f t="shared" si="69"/>
        <v>3291063.1879999996</v>
      </c>
      <c r="S216" s="110">
        <f t="shared" si="69"/>
        <v>3291063.1879999996</v>
      </c>
      <c r="T216" s="110">
        <v>43829</v>
      </c>
      <c r="U216" s="36" t="s">
        <v>184</v>
      </c>
      <c r="V216" s="116">
        <f t="shared" si="70"/>
        <v>0</v>
      </c>
      <c r="W216" s="100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8">
        <v>2427414.58</v>
      </c>
      <c r="N217" s="108">
        <v>66534.3</v>
      </c>
      <c r="O217" s="110">
        <f t="shared" si="66"/>
        <v>728224.3740000001</v>
      </c>
      <c r="P217" s="108">
        <f t="shared" si="67"/>
        <v>66534.3</v>
      </c>
      <c r="Q217" s="110">
        <f t="shared" si="64"/>
        <v>566396.7353333334</v>
      </c>
      <c r="R217" s="110">
        <f t="shared" si="69"/>
        <v>566396.7353333334</v>
      </c>
      <c r="S217" s="110">
        <f t="shared" si="69"/>
        <v>566396.7353333334</v>
      </c>
      <c r="T217" s="110">
        <v>43829</v>
      </c>
      <c r="U217" s="36" t="s">
        <v>184</v>
      </c>
      <c r="V217" s="116">
        <f t="shared" si="70"/>
        <v>0</v>
      </c>
      <c r="W217" s="100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8">
        <v>2427414.58</v>
      </c>
      <c r="N218" s="108">
        <v>66534.3</v>
      </c>
      <c r="O218" s="110">
        <f t="shared" si="66"/>
        <v>728224.3740000001</v>
      </c>
      <c r="P218" s="108">
        <f t="shared" si="67"/>
        <v>66534.3</v>
      </c>
      <c r="Q218" s="110">
        <f t="shared" si="64"/>
        <v>566396.7353333334</v>
      </c>
      <c r="R218" s="110">
        <f t="shared" si="69"/>
        <v>566396.7353333334</v>
      </c>
      <c r="S218" s="110">
        <f t="shared" si="69"/>
        <v>566396.7353333334</v>
      </c>
      <c r="T218" s="110">
        <v>43829</v>
      </c>
      <c r="U218" s="36" t="s">
        <v>184</v>
      </c>
      <c r="V218" s="116">
        <f t="shared" si="70"/>
        <v>0</v>
      </c>
      <c r="W218" s="100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8">
        <v>2383923.32</v>
      </c>
      <c r="N219" s="108">
        <v>66534.3</v>
      </c>
      <c r="O219" s="110">
        <f t="shared" si="66"/>
        <v>715176.9959999999</v>
      </c>
      <c r="P219" s="108">
        <f t="shared" si="67"/>
        <v>66534.3</v>
      </c>
      <c r="Q219" s="110">
        <f t="shared" si="64"/>
        <v>556248.7746666666</v>
      </c>
      <c r="R219" s="110">
        <f t="shared" si="69"/>
        <v>556248.7746666666</v>
      </c>
      <c r="S219" s="110">
        <f t="shared" si="69"/>
        <v>556248.7746666666</v>
      </c>
      <c r="T219" s="110">
        <v>43829</v>
      </c>
      <c r="U219" s="36" t="s">
        <v>184</v>
      </c>
      <c r="V219" s="116">
        <f t="shared" si="70"/>
        <v>0</v>
      </c>
      <c r="W219" s="100"/>
    </row>
    <row r="220" spans="1:23" s="15" customFormat="1" ht="18" customHeight="1">
      <c r="A220" s="370" t="s">
        <v>23</v>
      </c>
      <c r="B220" s="371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11">
        <f t="shared" si="71"/>
        <v>458757105.4399997</v>
      </c>
      <c r="N220" s="111">
        <f t="shared" si="71"/>
        <v>13320229.40000001</v>
      </c>
      <c r="O220" s="111">
        <f t="shared" si="71"/>
        <v>137627131.63200003</v>
      </c>
      <c r="P220" s="111">
        <f t="shared" si="71"/>
        <v>13320229.40000001</v>
      </c>
      <c r="Q220" s="111">
        <f t="shared" si="71"/>
        <v>107043324.60266666</v>
      </c>
      <c r="R220" s="111">
        <f t="shared" si="71"/>
        <v>107043324.60266666</v>
      </c>
      <c r="S220" s="111">
        <f t="shared" si="71"/>
        <v>107043324.60266666</v>
      </c>
      <c r="T220" s="111" t="s">
        <v>261</v>
      </c>
      <c r="U220" s="12" t="s">
        <v>261</v>
      </c>
      <c r="V220" s="116">
        <f t="shared" si="70"/>
        <v>-3.2782554626464844E-07</v>
      </c>
      <c r="W220" s="94"/>
    </row>
    <row r="221" spans="1:23" ht="18" customHeight="1">
      <c r="A221" s="270" t="s">
        <v>180</v>
      </c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2"/>
      <c r="V221" s="116">
        <f t="shared" si="70"/>
        <v>0</v>
      </c>
      <c r="W221" s="88"/>
    </row>
    <row r="222" spans="1:23" ht="18" customHeight="1">
      <c r="A222" s="273" t="s">
        <v>41</v>
      </c>
      <c r="B222" s="274"/>
      <c r="C222" s="274"/>
      <c r="D222" s="274"/>
      <c r="E222" s="275"/>
      <c r="F222" s="267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9"/>
      <c r="V222" s="11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0">
        <v>12079778</v>
      </c>
      <c r="N223" s="110">
        <v>332671.5</v>
      </c>
      <c r="O223" s="110">
        <f>M223*30/100</f>
        <v>3623933.4</v>
      </c>
      <c r="P223" s="108">
        <f>N223</f>
        <v>332671.5</v>
      </c>
      <c r="Q223" s="110">
        <f>(M223-O223)/3</f>
        <v>2818614.8666666667</v>
      </c>
      <c r="R223" s="110">
        <f>Q223</f>
        <v>2818614.8666666667</v>
      </c>
      <c r="S223" s="110">
        <f>R223</f>
        <v>2818614.8666666667</v>
      </c>
      <c r="T223" s="110">
        <v>43829</v>
      </c>
      <c r="U223" s="36" t="s">
        <v>184</v>
      </c>
      <c r="V223" s="116">
        <f t="shared" si="70"/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8">
        <v>4291422.82</v>
      </c>
      <c r="N224" s="108">
        <v>130286.16</v>
      </c>
      <c r="O224" s="108">
        <f>M224*30/100</f>
        <v>1287426.8460000001</v>
      </c>
      <c r="P224" s="108">
        <f>N224</f>
        <v>130286.16</v>
      </c>
      <c r="Q224" s="108">
        <f>(M224-O224)/3</f>
        <v>1001331.9913333334</v>
      </c>
      <c r="R224" s="108">
        <f>Q224</f>
        <v>1001331.9913333334</v>
      </c>
      <c r="S224" s="108">
        <f>R224</f>
        <v>1001331.9913333334</v>
      </c>
      <c r="T224" s="108">
        <v>43829</v>
      </c>
      <c r="U224" s="24" t="s">
        <v>184</v>
      </c>
      <c r="V224" s="116">
        <f t="shared" si="70"/>
        <v>0</v>
      </c>
      <c r="W224" s="90"/>
    </row>
    <row r="225" spans="1:23" ht="18" customHeight="1">
      <c r="A225" s="368" t="s">
        <v>23</v>
      </c>
      <c r="B225" s="369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09">
        <f>SUM(I223:I224)</f>
        <v>27951.75</v>
      </c>
      <c r="J225" s="109">
        <f>SUM(J223:J224)</f>
        <v>24311.55</v>
      </c>
      <c r="K225" s="109">
        <f>SUM(K223:K224)</f>
        <v>19058.809999999998</v>
      </c>
      <c r="L225" s="109">
        <f>SUM(L223:L224)</f>
        <v>966</v>
      </c>
      <c r="M225" s="109">
        <f>SUM(M223:M224)</f>
        <v>16371200.82</v>
      </c>
      <c r="N225" s="109">
        <f aca="true" t="shared" si="72" ref="N225:S225">SUM(N223:N224)</f>
        <v>462957.66000000003</v>
      </c>
      <c r="O225" s="109">
        <f t="shared" si="72"/>
        <v>4911360.246</v>
      </c>
      <c r="P225" s="109">
        <f t="shared" si="72"/>
        <v>462957.66000000003</v>
      </c>
      <c r="Q225" s="109">
        <f t="shared" si="72"/>
        <v>3819946.858</v>
      </c>
      <c r="R225" s="109">
        <f t="shared" si="72"/>
        <v>3819946.858</v>
      </c>
      <c r="S225" s="109">
        <f t="shared" si="72"/>
        <v>3819946.858</v>
      </c>
      <c r="T225" s="109" t="s">
        <v>261</v>
      </c>
      <c r="U225" s="6" t="s">
        <v>261</v>
      </c>
      <c r="V225" s="116">
        <f t="shared" si="70"/>
        <v>0</v>
      </c>
      <c r="W225" s="91"/>
    </row>
    <row r="226" spans="1:23" s="15" customFormat="1" ht="18" customHeight="1">
      <c r="A226" s="370" t="s">
        <v>42</v>
      </c>
      <c r="B226" s="371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11">
        <f t="shared" si="73"/>
        <v>16371200.82</v>
      </c>
      <c r="N226" s="111">
        <f t="shared" si="73"/>
        <v>462957.66000000003</v>
      </c>
      <c r="O226" s="111">
        <f t="shared" si="73"/>
        <v>4911360.246</v>
      </c>
      <c r="P226" s="111">
        <f t="shared" si="73"/>
        <v>462957.66000000003</v>
      </c>
      <c r="Q226" s="111">
        <f t="shared" si="73"/>
        <v>3819946.858</v>
      </c>
      <c r="R226" s="111">
        <f t="shared" si="73"/>
        <v>3819946.858</v>
      </c>
      <c r="S226" s="111">
        <f t="shared" si="73"/>
        <v>3819946.858</v>
      </c>
      <c r="T226" s="109" t="s">
        <v>261</v>
      </c>
      <c r="U226" s="6" t="s">
        <v>261</v>
      </c>
      <c r="V226" s="116">
        <f t="shared" si="70"/>
        <v>0</v>
      </c>
      <c r="W226" s="91"/>
    </row>
    <row r="227" spans="1:23" s="15" customFormat="1" ht="18" customHeight="1">
      <c r="A227" s="273" t="s">
        <v>43</v>
      </c>
      <c r="B227" s="275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1">
        <f>H226+H220+H122+H115+H104+H80+H70+H60+H24</f>
        <v>400</v>
      </c>
      <c r="I227" s="111">
        <f>I226+I220+I122+I115+I104+I80+I70+I60+I24</f>
        <v>963528.7199999999</v>
      </c>
      <c r="J227" s="111">
        <f>J226+J220+J122+J115+J104+J80+J70+J60+J24</f>
        <v>743387.03</v>
      </c>
      <c r="K227" s="111">
        <f>K226+K220+K122+K115+K104+K80+K70+K60+K24</f>
        <v>572003.27</v>
      </c>
      <c r="L227" s="111">
        <f>L226+L220+L122+L115+L104+L80+L70+L60+L24</f>
        <v>41111</v>
      </c>
      <c r="M227" s="111">
        <f aca="true" t="shared" si="74" ref="M227:S227">M226+M220+M122+M115+M104+M80+M70+M60+M24</f>
        <v>915305454.3799996</v>
      </c>
      <c r="N227" s="111">
        <f t="shared" si="74"/>
        <v>26531018.080000013</v>
      </c>
      <c r="O227" s="111">
        <f t="shared" si="74"/>
        <v>274591636.314</v>
      </c>
      <c r="P227" s="111">
        <f t="shared" si="74"/>
        <v>26531018.080000013</v>
      </c>
      <c r="Q227" s="111">
        <f t="shared" si="74"/>
        <v>213571272.68866664</v>
      </c>
      <c r="R227" s="111">
        <f t="shared" si="74"/>
        <v>213571272.68866664</v>
      </c>
      <c r="S227" s="111">
        <f t="shared" si="74"/>
        <v>213571272.68866664</v>
      </c>
      <c r="T227" s="111" t="s">
        <v>261</v>
      </c>
      <c r="U227" s="12" t="s">
        <v>261</v>
      </c>
      <c r="V227" s="11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1">
        <f>M227+N227</f>
        <v>941836472.4599997</v>
      </c>
      <c r="N228" s="111"/>
      <c r="O228" s="111">
        <f>O227</f>
        <v>274591636.314</v>
      </c>
      <c r="P228" s="111">
        <f>P227</f>
        <v>26531018.080000013</v>
      </c>
      <c r="Q228" s="111">
        <f>Q227</f>
        <v>213571272.68866664</v>
      </c>
      <c r="R228" s="111">
        <f>R227</f>
        <v>213571272.68866664</v>
      </c>
      <c r="S228" s="111">
        <f>S227</f>
        <v>213571272.68866664</v>
      </c>
      <c r="T228" s="117"/>
      <c r="U228" s="94"/>
      <c r="V228" s="11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1">
        <f>M227*0.0214</f>
        <v>19587536.72373199</v>
      </c>
      <c r="N229" s="111"/>
      <c r="O229" s="111">
        <f>M229</f>
        <v>19587536.72373199</v>
      </c>
      <c r="P229" s="111"/>
      <c r="Q229" s="111"/>
      <c r="R229" s="111"/>
      <c r="S229" s="111"/>
      <c r="T229" s="117"/>
      <c r="U229" s="94"/>
      <c r="V229" s="11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1">
        <f>M229+M228</f>
        <v>961424009.1837317</v>
      </c>
      <c r="N230" s="111">
        <f aca="true" t="shared" si="76" ref="N230:S230">N229+N228</f>
        <v>0</v>
      </c>
      <c r="O230" s="111">
        <f>O229+O228</f>
        <v>294179173.037732</v>
      </c>
      <c r="P230" s="111">
        <f t="shared" si="76"/>
        <v>26531018.080000013</v>
      </c>
      <c r="Q230" s="111">
        <f>Q229+Q228</f>
        <v>213571272.68866664</v>
      </c>
      <c r="R230" s="111">
        <f t="shared" si="76"/>
        <v>213571272.68866664</v>
      </c>
      <c r="S230" s="111">
        <f t="shared" si="76"/>
        <v>213571272.68866664</v>
      </c>
      <c r="T230" s="117"/>
      <c r="U230" s="94"/>
      <c r="V230" s="116">
        <f t="shared" si="75"/>
        <v>-2.980232238769531E-07</v>
      </c>
      <c r="W230" s="94"/>
    </row>
    <row r="231" spans="1:22" ht="18" customHeight="1">
      <c r="A231" s="101" t="e">
        <f>A224-#REF!-'2017'!A78</f>
        <v>#REF!</v>
      </c>
      <c r="B231" s="101"/>
      <c r="C231" s="101"/>
      <c r="D231" s="101"/>
      <c r="E231" s="101"/>
      <c r="F231" s="101"/>
      <c r="G231" s="101"/>
      <c r="H231" s="101" t="e">
        <f>H227-'2017'!H81-#REF!</f>
        <v>#REF!</v>
      </c>
      <c r="I231" s="101" t="e">
        <f>I227-'2017'!I81-#REF!</f>
        <v>#REF!</v>
      </c>
      <c r="J231" s="101"/>
      <c r="K231" s="101"/>
      <c r="L231" s="101"/>
      <c r="M231" s="101" t="e">
        <f>M230-'2017'!M84-#REF!</f>
        <v>#REF!</v>
      </c>
      <c r="N231" s="101" t="e">
        <f>N230-'2017'!N84-#REF!</f>
        <v>#REF!</v>
      </c>
      <c r="O231" s="101" t="e">
        <f>O230-'2017'!O84-#REF!</f>
        <v>#REF!</v>
      </c>
      <c r="P231" s="101" t="e">
        <f>P230-'2017'!P84-#REF!</f>
        <v>#REF!</v>
      </c>
      <c r="Q231" s="101" t="e">
        <f>Q230-'2017'!Q84-#REF!</f>
        <v>#REF!</v>
      </c>
      <c r="R231" s="101" t="e">
        <f>R230-'2017'!R84-#REF!</f>
        <v>#REF!</v>
      </c>
      <c r="S231" s="101"/>
      <c r="T231" s="101" t="e">
        <f>T227-'2017'!T81-#REF!</f>
        <v>#VALUE!</v>
      </c>
      <c r="V231" s="116" t="e">
        <f t="shared" si="75"/>
        <v>#REF!</v>
      </c>
    </row>
    <row r="232" spans="13:22" ht="18" customHeight="1">
      <c r="M232" s="102" t="e">
        <f>M227-'2017'!M81-#REF!</f>
        <v>#REF!</v>
      </c>
      <c r="N232" s="102" t="e">
        <f>N227-'2017'!N81-#REF!</f>
        <v>#REF!</v>
      </c>
      <c r="O232" s="102" t="e">
        <f>O227-'2017'!O81-#REF!</f>
        <v>#REF!</v>
      </c>
      <c r="P232" s="102" t="e">
        <f>P227-'2017'!P81-#REF!</f>
        <v>#REF!</v>
      </c>
      <c r="Q232" s="102" t="e">
        <f>Q227-'2017'!Q81-#REF!</f>
        <v>#REF!</v>
      </c>
      <c r="R232" s="102" t="e">
        <f>R227-'2017'!R81-#REF!</f>
        <v>#REF!</v>
      </c>
      <c r="S232" s="102" t="e">
        <f>S227-'2017'!S81-#REF!</f>
        <v>#REF!</v>
      </c>
      <c r="T232" s="102" t="e">
        <f>T227-'2017'!T81-#REF!</f>
        <v>#VALUE!</v>
      </c>
      <c r="V232" s="116" t="e">
        <f t="shared" si="75"/>
        <v>#REF!</v>
      </c>
    </row>
    <row r="233" spans="13:22" ht="18" customHeight="1">
      <c r="M233" s="102" t="e">
        <f>M228-'2017'!M82-#REF!</f>
        <v>#REF!</v>
      </c>
      <c r="N233" s="102" t="e">
        <f>N228-'2017'!N82-#REF!</f>
        <v>#REF!</v>
      </c>
      <c r="O233" s="102" t="e">
        <f>O228-'2017'!O82-#REF!</f>
        <v>#REF!</v>
      </c>
      <c r="P233" s="102" t="e">
        <f>P228-'2017'!P82-#REF!</f>
        <v>#REF!</v>
      </c>
      <c r="Q233" s="102" t="e">
        <f>Q228-'2017'!Q82-#REF!</f>
        <v>#REF!</v>
      </c>
      <c r="R233" s="102" t="e">
        <f>R228-'2017'!R82-#REF!</f>
        <v>#REF!</v>
      </c>
      <c r="S233" s="102" t="e">
        <f>S228-'2017'!S82-#REF!</f>
        <v>#REF!</v>
      </c>
      <c r="V233" s="116" t="e">
        <f t="shared" si="75"/>
        <v>#REF!</v>
      </c>
    </row>
    <row r="234" ht="18" customHeight="1">
      <c r="V234" s="116">
        <f t="shared" si="75"/>
        <v>0</v>
      </c>
    </row>
  </sheetData>
  <sheetProtection/>
  <mergeCells count="79"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  <mergeCell ref="D6:D9"/>
    <mergeCell ref="G5:G9"/>
    <mergeCell ref="H5:H9"/>
    <mergeCell ref="M5:M8"/>
    <mergeCell ref="E5:E9"/>
    <mergeCell ref="F5:F9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2021-05-11T06:22:24Z</dcterms:modified>
  <cp:category/>
  <cp:version/>
  <cp:contentType/>
  <cp:contentStatus/>
</cp:coreProperties>
</file>