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8" yWindow="108" windowWidth="10692" windowHeight="9720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'2020'!$A$8:$AQ$36</definedName>
    <definedName name="_xlnm._FilterDatabase" localSheetId="2" hidden="1">'2021'!$A$9:$AW$118</definedName>
    <definedName name="_xlnm._FilterDatabase" localSheetId="3" hidden="1">'2022'!$A$9:$W$48</definedName>
    <definedName name="_xlnm._FilterDatabase" localSheetId="0" hidden="1">'Раздел 1'!$A$15:$XEX$163</definedName>
    <definedName name="Z_01451C91_14DA_4D26_B1B3_18A70391612A_.wvu.FilterData" localSheetId="1" hidden="1">'2020'!$A$8:$AQ$9</definedName>
    <definedName name="Z_01451C91_14DA_4D26_B1B3_18A70391612A_.wvu.PrintArea" localSheetId="1" hidden="1">'2020'!$A$1:$W$34</definedName>
    <definedName name="Z_01451C91_14DA_4D26_B1B3_18A70391612A_.wvu.PrintArea" localSheetId="2" hidden="1">'2021'!$A$1:$W$115</definedName>
    <definedName name="Z_01451C91_14DA_4D26_B1B3_18A70391612A_.wvu.PrintArea" localSheetId="3" hidden="1">'2022'!$A$1:$W$46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'2020'!$A$8:$AQ$9</definedName>
    <definedName name="Z_16B8344E_73EB_416B_B009_420D58C33AEC_.wvu.PrintArea" localSheetId="1" hidden="1">'2020'!$A$1:$W$34</definedName>
    <definedName name="Z_16B8344E_73EB_416B_B009_420D58C33AEC_.wvu.PrintArea" localSheetId="2" hidden="1">'2021'!$A$1:$W$115</definedName>
    <definedName name="Z_16B8344E_73EB_416B_B009_420D58C33AEC_.wvu.PrintArea" localSheetId="3" hidden="1">'2022'!$A$1:$W$46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'2020'!$A$8:$AQ$9</definedName>
    <definedName name="Z_35164214_6B83_4B40_8294_2E9A0423440B_.wvu.FilterData" localSheetId="1" hidden="1">'2020'!#REF!</definedName>
    <definedName name="Z_35164214_6B83_4B40_8294_2E9A0423440B_.wvu.PrintArea" localSheetId="1" hidden="1">'2020'!$A$1:$W$34</definedName>
    <definedName name="Z_35164214_6B83_4B40_8294_2E9A0423440B_.wvu.PrintArea" localSheetId="2" hidden="1">'2021'!$A$1:$W$115</definedName>
    <definedName name="Z_35164214_6B83_4B40_8294_2E9A0423440B_.wvu.PrintArea" localSheetId="3" hidden="1">'2022'!$A$1:$W$46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'2020'!$A$8:$AQ$9</definedName>
    <definedName name="Z_4B6D6BCB_EE2D_42AC_9192_354A33B0E0EA_.wvu.FilterData" localSheetId="2" hidden="1">'2021'!$A$9:$W$17</definedName>
    <definedName name="Z_4B6D6BCB_EE2D_42AC_9192_354A33B0E0EA_.wvu.PrintArea" localSheetId="1" hidden="1">'2020'!$A$1:$W$34</definedName>
    <definedName name="Z_4B6D6BCB_EE2D_42AC_9192_354A33B0E0EA_.wvu.PrintArea" localSheetId="2" hidden="1">'2021'!$A$1:$W$115</definedName>
    <definedName name="Z_4B6D6BCB_EE2D_42AC_9192_354A33B0E0EA_.wvu.PrintArea" localSheetId="3" hidden="1">'2022'!$A$1:$W$46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'2020'!$A$8:$AQ$9</definedName>
    <definedName name="Z_83613F8C_5050_4CDE_94E5_E4721A2F1A39_.wvu.FilterData" localSheetId="1" hidden="1">'2020'!$A$8:$AQ$9</definedName>
    <definedName name="Z_B742453E_6192_4495_8455_B4A974C6429E_.wvu.FilterData" localSheetId="1" hidden="1">'2020'!$A$8:$AQ$9</definedName>
    <definedName name="Z_B742453E_6192_4495_8455_B4A974C6429E_.wvu.PrintArea" localSheetId="1" hidden="1">'2020'!$A$1:$W$34</definedName>
    <definedName name="Z_B742453E_6192_4495_8455_B4A974C6429E_.wvu.PrintArea" localSheetId="2" hidden="1">'2021'!$A$1:$W$115</definedName>
    <definedName name="Z_B742453E_6192_4495_8455_B4A974C6429E_.wvu.PrintArea" localSheetId="3" hidden="1">'2022'!$A$1:$W$46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'2020'!$A$8:$AQ$9</definedName>
    <definedName name="Z_DE2E8392_397B_4E2C_B9DD_E1C088B12D54_.wvu.FilterData" localSheetId="1" hidden="1">'2020'!$A$8:$AQ$9</definedName>
    <definedName name="Z_DFCDC4A7_B1EE_4F7B_A9A5_CB3F46056C80_.wvu.FilterData" localSheetId="1" hidden="1">'2020'!$A$8:$AQ$9</definedName>
    <definedName name="Z_DFCDC4A7_B1EE_4F7B_A9A5_CB3F46056C80_.wvu.PrintArea" localSheetId="1" hidden="1">'2020'!$A$1:$W$34</definedName>
    <definedName name="Z_DFCDC4A7_B1EE_4F7B_A9A5_CB3F46056C80_.wvu.PrintArea" localSheetId="2" hidden="1">'2021'!$A$1:$W$115</definedName>
    <definedName name="Z_DFCDC4A7_B1EE_4F7B_A9A5_CB3F46056C80_.wvu.PrintArea" localSheetId="3" hidden="1">'2022'!$A$1:$W$46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'2020'!$A$8:$AQ$9</definedName>
    <definedName name="Z_E557CDC6_6AA0_4DD0_B6F9_A94A1E4C138A_.wvu.PrintArea" localSheetId="1" hidden="1">'2020'!$A$1:$W$34</definedName>
    <definedName name="Z_E557CDC6_6AA0_4DD0_B6F9_A94A1E4C138A_.wvu.PrintArea" localSheetId="2" hidden="1">'2021'!$A$1:$W$115</definedName>
    <definedName name="Z_E557CDC6_6AA0_4DD0_B6F9_A94A1E4C138A_.wvu.PrintArea" localSheetId="3" hidden="1">'2022'!$A$1:$W$46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'2020'!$A$8:$AQ$9</definedName>
    <definedName name="_xlnm.Print_Area" localSheetId="1">'2020'!$A$1:$W$37</definedName>
    <definedName name="_xlnm.Print_Area" localSheetId="2">'2021'!$A$1:$W$117</definedName>
    <definedName name="_xlnm.Print_Area" localSheetId="3">'2022'!$A$1:$Y$48</definedName>
    <definedName name="_xlnm.Print_Area" localSheetId="0">'Раздел 1'!$A$1:$L$186</definedName>
  </definedNames>
  <calcPr calcId="145621"/>
</workbook>
</file>

<file path=xl/calcChain.xml><?xml version="1.0" encoding="utf-8"?>
<calcChain xmlns="http://schemas.openxmlformats.org/spreadsheetml/2006/main">
  <c r="C47" i="6" l="1"/>
  <c r="D34" i="4" l="1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C34" i="4"/>
  <c r="C35" i="4"/>
  <c r="J43" i="2" l="1"/>
  <c r="H46" i="2"/>
  <c r="I46" i="2"/>
  <c r="J45" i="2"/>
  <c r="J39" i="2"/>
  <c r="J38" i="2"/>
  <c r="C43" i="5" l="1"/>
  <c r="C25" i="5"/>
  <c r="C28" i="5"/>
  <c r="C30" i="5"/>
  <c r="C32" i="5"/>
  <c r="A27" i="5"/>
  <c r="A28" i="5" s="1"/>
  <c r="A29" i="5" s="1"/>
  <c r="A30" i="5" s="1"/>
  <c r="A31" i="5" s="1"/>
  <c r="A32" i="5" s="1"/>
  <c r="A26" i="5"/>
  <c r="D26" i="5"/>
  <c r="D27" i="5"/>
  <c r="D29" i="5"/>
  <c r="D31" i="5"/>
  <c r="J29" i="2" l="1"/>
  <c r="J30" i="2" s="1"/>
  <c r="I30" i="2"/>
  <c r="H30" i="2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2" i="4"/>
  <c r="C13" i="4" s="1"/>
  <c r="W20" i="6" l="1"/>
  <c r="W18" i="6"/>
  <c r="W44" i="5" l="1"/>
  <c r="W45" i="5"/>
  <c r="W30" i="5" l="1"/>
  <c r="E113" i="5" l="1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D100" i="5" l="1"/>
  <c r="H160" i="2"/>
  <c r="I160" i="2"/>
  <c r="H156" i="2"/>
  <c r="I156" i="2"/>
  <c r="H139" i="2"/>
  <c r="I139" i="2"/>
  <c r="H136" i="2"/>
  <c r="I136" i="2"/>
  <c r="H131" i="2"/>
  <c r="I131" i="2"/>
  <c r="H117" i="2"/>
  <c r="I117" i="2"/>
  <c r="H108" i="2"/>
  <c r="I108" i="2"/>
  <c r="H102" i="2"/>
  <c r="I102" i="2"/>
  <c r="I49" i="2"/>
  <c r="H33" i="2"/>
  <c r="H34" i="2" s="1"/>
  <c r="I33" i="2"/>
  <c r="I34" i="2" s="1"/>
  <c r="H25" i="2"/>
  <c r="I25" i="2"/>
  <c r="H22" i="2"/>
  <c r="I22" i="2"/>
  <c r="A21" i="2"/>
  <c r="A24" i="2" s="1"/>
  <c r="H118" i="2" l="1"/>
  <c r="I118" i="2"/>
  <c r="A29" i="2"/>
  <c r="A32" i="2" s="1"/>
  <c r="A37" i="2" s="1"/>
  <c r="A38" i="2" s="1"/>
  <c r="A39" i="2" s="1"/>
  <c r="A40" i="2" s="1"/>
  <c r="A41" i="2" s="1"/>
  <c r="A42" i="2" s="1"/>
  <c r="W106" i="5"/>
  <c r="C106" i="5" s="1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W95" i="5"/>
  <c r="W96" i="5" s="1"/>
  <c r="D95" i="5"/>
  <c r="D96" i="5" s="1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W87" i="5"/>
  <c r="W88" i="5" s="1"/>
  <c r="D87" i="5"/>
  <c r="D88" i="5" s="1"/>
  <c r="AC44" i="6"/>
  <c r="W43" i="6"/>
  <c r="C43" i="6" s="1"/>
  <c r="J116" i="2" s="1"/>
  <c r="W42" i="6"/>
  <c r="C42" i="6" s="1"/>
  <c r="J115" i="2" s="1"/>
  <c r="W41" i="6"/>
  <c r="C41" i="6" s="1"/>
  <c r="J114" i="2" s="1"/>
  <c r="W40" i="6"/>
  <c r="C40" i="6" s="1"/>
  <c r="J113" i="2" s="1"/>
  <c r="W39" i="6"/>
  <c r="C39" i="6" s="1"/>
  <c r="J112" i="2" s="1"/>
  <c r="W38" i="6"/>
  <c r="C38" i="6" s="1"/>
  <c r="J111" i="2" s="1"/>
  <c r="Y36" i="6"/>
  <c r="X36" i="6"/>
  <c r="W37" i="6"/>
  <c r="A17" i="6"/>
  <c r="AC35" i="6"/>
  <c r="D34" i="6"/>
  <c r="C34" i="6" s="1"/>
  <c r="J107" i="2" s="1"/>
  <c r="W33" i="6"/>
  <c r="D33" i="6"/>
  <c r="C33" i="6" s="1"/>
  <c r="J106" i="2" s="1"/>
  <c r="W32" i="6"/>
  <c r="W35" i="6" s="1"/>
  <c r="D32" i="6"/>
  <c r="D31" i="6"/>
  <c r="C31" i="6" s="1"/>
  <c r="J104" i="2" s="1"/>
  <c r="AC45" i="6"/>
  <c r="V29" i="6"/>
  <c r="V35" i="6" s="1"/>
  <c r="V45" i="6" s="1"/>
  <c r="U29" i="6"/>
  <c r="U35" i="6" s="1"/>
  <c r="U45" i="6" s="1"/>
  <c r="T29" i="6"/>
  <c r="T35" i="6" s="1"/>
  <c r="T45" i="6" s="1"/>
  <c r="S29" i="6"/>
  <c r="S35" i="6" s="1"/>
  <c r="S45" i="6" s="1"/>
  <c r="R29" i="6"/>
  <c r="R35" i="6" s="1"/>
  <c r="R45" i="6" s="1"/>
  <c r="Q29" i="6"/>
  <c r="Q35" i="6" s="1"/>
  <c r="Q45" i="6" s="1"/>
  <c r="P29" i="6"/>
  <c r="P35" i="6" s="1"/>
  <c r="P45" i="6" s="1"/>
  <c r="O29" i="6"/>
  <c r="O35" i="6" s="1"/>
  <c r="O45" i="6" s="1"/>
  <c r="N29" i="6"/>
  <c r="N35" i="6" s="1"/>
  <c r="N45" i="6" s="1"/>
  <c r="M29" i="6"/>
  <c r="M35" i="6" s="1"/>
  <c r="M45" i="6" s="1"/>
  <c r="L29" i="6"/>
  <c r="L35" i="6" s="1"/>
  <c r="L45" i="6" s="1"/>
  <c r="K29" i="6"/>
  <c r="K35" i="6" s="1"/>
  <c r="K45" i="6" s="1"/>
  <c r="J29" i="6"/>
  <c r="J35" i="6" s="1"/>
  <c r="J45" i="6" s="1"/>
  <c r="I29" i="6"/>
  <c r="I35" i="6" s="1"/>
  <c r="I45" i="6" s="1"/>
  <c r="H29" i="6"/>
  <c r="H35" i="6" s="1"/>
  <c r="H45" i="6" s="1"/>
  <c r="G29" i="6"/>
  <c r="G35" i="6" s="1"/>
  <c r="G45" i="6" s="1"/>
  <c r="F29" i="6"/>
  <c r="F35" i="6" s="1"/>
  <c r="F45" i="6" s="1"/>
  <c r="E29" i="6"/>
  <c r="E35" i="6" s="1"/>
  <c r="E45" i="6" s="1"/>
  <c r="D29" i="6"/>
  <c r="W28" i="6"/>
  <c r="C28" i="6" s="1"/>
  <c r="C29" i="6" s="1"/>
  <c r="Y27" i="6"/>
  <c r="X27" i="6"/>
  <c r="Y26" i="6"/>
  <c r="X26" i="6"/>
  <c r="D67" i="5"/>
  <c r="C67" i="5" s="1"/>
  <c r="J90" i="2" s="1"/>
  <c r="C20" i="6"/>
  <c r="J81" i="2" s="1"/>
  <c r="A43" i="2" l="1"/>
  <c r="A44" i="2" s="1"/>
  <c r="A45" i="2" s="1"/>
  <c r="A48" i="2" s="1"/>
  <c r="C37" i="6"/>
  <c r="W44" i="6"/>
  <c r="J101" i="2"/>
  <c r="J102" i="2" s="1"/>
  <c r="J143" i="2"/>
  <c r="C95" i="5"/>
  <c r="X106" i="5"/>
  <c r="C87" i="5"/>
  <c r="Y41" i="6"/>
  <c r="X41" i="6"/>
  <c r="X42" i="6"/>
  <c r="Y42" i="6"/>
  <c r="Y43" i="6"/>
  <c r="X43" i="6"/>
  <c r="Y40" i="6"/>
  <c r="X40" i="6"/>
  <c r="Y39" i="6"/>
  <c r="X39" i="6"/>
  <c r="D35" i="6"/>
  <c r="D45" i="6" s="1"/>
  <c r="Y38" i="6"/>
  <c r="X38" i="6"/>
  <c r="X37" i="6"/>
  <c r="C32" i="6"/>
  <c r="W29" i="6"/>
  <c r="W45" i="6" s="1"/>
  <c r="Y28" i="6"/>
  <c r="X28" i="6"/>
  <c r="Y20" i="6"/>
  <c r="X20" i="6"/>
  <c r="Y37" i="6" l="1"/>
  <c r="C44" i="6"/>
  <c r="J110" i="2"/>
  <c r="J117" i="2" s="1"/>
  <c r="C35" i="6"/>
  <c r="J105" i="2"/>
  <c r="J108" i="2" s="1"/>
  <c r="C88" i="5"/>
  <c r="J130" i="2"/>
  <c r="J131" i="2" s="1"/>
  <c r="C96" i="5"/>
  <c r="J138" i="2"/>
  <c r="J139" i="2" s="1"/>
  <c r="J118" i="2" l="1"/>
  <c r="X35" i="6"/>
  <c r="C45" i="6"/>
  <c r="X45" i="6" s="1"/>
  <c r="Y35" i="6"/>
  <c r="Y44" i="6"/>
  <c r="X44" i="6"/>
  <c r="Y45" i="6"/>
  <c r="M118" i="2" l="1"/>
  <c r="W52" i="5"/>
  <c r="D52" i="5"/>
  <c r="W36" i="5"/>
  <c r="V21" i="5"/>
  <c r="V22" i="5" s="1"/>
  <c r="U21" i="5"/>
  <c r="U22" i="5" s="1"/>
  <c r="T21" i="5"/>
  <c r="T22" i="5" s="1"/>
  <c r="S21" i="5"/>
  <c r="S22" i="5" s="1"/>
  <c r="R21" i="5"/>
  <c r="R22" i="5" s="1"/>
  <c r="Q21" i="5"/>
  <c r="Q22" i="5" s="1"/>
  <c r="P21" i="5"/>
  <c r="P22" i="5" s="1"/>
  <c r="O21" i="5"/>
  <c r="O22" i="5" s="1"/>
  <c r="N21" i="5"/>
  <c r="N22" i="5" s="1"/>
  <c r="M21" i="5"/>
  <c r="M22" i="5" s="1"/>
  <c r="L21" i="5"/>
  <c r="L22" i="5" s="1"/>
  <c r="K21" i="5"/>
  <c r="K22" i="5" s="1"/>
  <c r="J21" i="5"/>
  <c r="J22" i="5" s="1"/>
  <c r="I21" i="5"/>
  <c r="I22" i="5" s="1"/>
  <c r="H21" i="5"/>
  <c r="H22" i="5" s="1"/>
  <c r="G21" i="5"/>
  <c r="G22" i="5" s="1"/>
  <c r="F21" i="5"/>
  <c r="F22" i="5" s="1"/>
  <c r="E21" i="5"/>
  <c r="E22" i="5" s="1"/>
  <c r="W20" i="5"/>
  <c r="D20" i="5"/>
  <c r="D21" i="5" s="1"/>
  <c r="D22" i="5" s="1"/>
  <c r="V13" i="6"/>
  <c r="V14" i="6" s="1"/>
  <c r="U13" i="6"/>
  <c r="U14" i="6" s="1"/>
  <c r="T13" i="6"/>
  <c r="T14" i="6" s="1"/>
  <c r="S13" i="6"/>
  <c r="S14" i="6" s="1"/>
  <c r="R13" i="6"/>
  <c r="R14" i="6" s="1"/>
  <c r="Q13" i="6"/>
  <c r="Q14" i="6" s="1"/>
  <c r="P13" i="6"/>
  <c r="P14" i="6" s="1"/>
  <c r="O13" i="6"/>
  <c r="O14" i="6" s="1"/>
  <c r="N13" i="6"/>
  <c r="N14" i="6" s="1"/>
  <c r="M13" i="6"/>
  <c r="M14" i="6" s="1"/>
  <c r="L13" i="6"/>
  <c r="L14" i="6" s="1"/>
  <c r="K13" i="6"/>
  <c r="K14" i="6" s="1"/>
  <c r="J13" i="6"/>
  <c r="J14" i="6" s="1"/>
  <c r="I13" i="6"/>
  <c r="I14" i="6" s="1"/>
  <c r="H13" i="6"/>
  <c r="H14" i="6" s="1"/>
  <c r="G13" i="6"/>
  <c r="G14" i="6" s="1"/>
  <c r="F13" i="6"/>
  <c r="F14" i="6" s="1"/>
  <c r="E13" i="6"/>
  <c r="E14" i="6" s="1"/>
  <c r="D13" i="6"/>
  <c r="D14" i="6" s="1"/>
  <c r="W12" i="6"/>
  <c r="W13" i="6" s="1"/>
  <c r="W14" i="6" s="1"/>
  <c r="A15" i="5"/>
  <c r="A20" i="5" s="1"/>
  <c r="A25" i="5" s="1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W15" i="5"/>
  <c r="W16" i="5" s="1"/>
  <c r="D15" i="5"/>
  <c r="C36" i="5" l="1"/>
  <c r="W37" i="5"/>
  <c r="C52" i="5"/>
  <c r="J63" i="2" s="1"/>
  <c r="C12" i="6"/>
  <c r="X36" i="5"/>
  <c r="C15" i="5"/>
  <c r="C20" i="5"/>
  <c r="W21" i="5"/>
  <c r="W22" i="5" s="1"/>
  <c r="D16" i="5"/>
  <c r="G136" i="2"/>
  <c r="G146" i="2"/>
  <c r="H146" i="2"/>
  <c r="I146" i="2"/>
  <c r="G128" i="2"/>
  <c r="H128" i="2"/>
  <c r="I128" i="2"/>
  <c r="I140" i="2" s="1"/>
  <c r="G74" i="2"/>
  <c r="H74" i="2"/>
  <c r="H75" i="2" s="1"/>
  <c r="I74" i="2"/>
  <c r="I75" i="2" s="1"/>
  <c r="G125" i="2"/>
  <c r="H125" i="2"/>
  <c r="I125" i="2"/>
  <c r="G122" i="2"/>
  <c r="H122" i="2"/>
  <c r="I122" i="2"/>
  <c r="H86" i="2"/>
  <c r="I86" i="2"/>
  <c r="H97" i="2"/>
  <c r="I97" i="2"/>
  <c r="Y12" i="6" l="1"/>
  <c r="J24" i="2"/>
  <c r="J25" i="2" s="1"/>
  <c r="H140" i="2"/>
  <c r="C21" i="5"/>
  <c r="C22" i="5" s="1"/>
  <c r="J32" i="2"/>
  <c r="J33" i="2" s="1"/>
  <c r="J34" i="2" s="1"/>
  <c r="G140" i="2"/>
  <c r="C16" i="5"/>
  <c r="J21" i="2"/>
  <c r="J22" i="2" s="1"/>
  <c r="C37" i="5"/>
  <c r="J48" i="2"/>
  <c r="J49" i="2" s="1"/>
  <c r="X12" i="6"/>
  <c r="C13" i="6"/>
  <c r="C14" i="6" s="1"/>
  <c r="M34" i="2" l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X30" i="4"/>
  <c r="D32" i="4"/>
  <c r="C32" i="4" s="1"/>
  <c r="X31" i="4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8" i="5"/>
  <c r="C108" i="5" s="1"/>
  <c r="W107" i="5"/>
  <c r="C107" i="5" s="1"/>
  <c r="J144" i="2" s="1"/>
  <c r="W105" i="5"/>
  <c r="D92" i="5"/>
  <c r="C92" i="5" s="1"/>
  <c r="J135" i="2" s="1"/>
  <c r="D91" i="5"/>
  <c r="D90" i="5"/>
  <c r="D89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W84" i="5"/>
  <c r="W85" i="5" s="1"/>
  <c r="D84" i="5"/>
  <c r="D85" i="5" s="1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W81" i="5"/>
  <c r="C81" i="5" s="1"/>
  <c r="X80" i="5"/>
  <c r="X20" i="4"/>
  <c r="G24" i="4"/>
  <c r="W24" i="4"/>
  <c r="W23" i="4"/>
  <c r="V23" i="4"/>
  <c r="V24" i="4" s="1"/>
  <c r="U23" i="4"/>
  <c r="U24" i="4" s="1"/>
  <c r="T23" i="4"/>
  <c r="T24" i="4" s="1"/>
  <c r="S23" i="4"/>
  <c r="S24" i="4" s="1"/>
  <c r="R23" i="4"/>
  <c r="R24" i="4" s="1"/>
  <c r="Q23" i="4"/>
  <c r="Q24" i="4" s="1"/>
  <c r="P23" i="4"/>
  <c r="P24" i="4" s="1"/>
  <c r="O23" i="4"/>
  <c r="O24" i="4" s="1"/>
  <c r="N23" i="4"/>
  <c r="N24" i="4" s="1"/>
  <c r="M23" i="4"/>
  <c r="M24" i="4" s="1"/>
  <c r="L23" i="4"/>
  <c r="L24" i="4" s="1"/>
  <c r="K23" i="4"/>
  <c r="K24" i="4" s="1"/>
  <c r="J23" i="4"/>
  <c r="J24" i="4" s="1"/>
  <c r="I23" i="4"/>
  <c r="I24" i="4" s="1"/>
  <c r="H23" i="4"/>
  <c r="H24" i="4" s="1"/>
  <c r="G23" i="4"/>
  <c r="F23" i="4"/>
  <c r="F24" i="4" s="1"/>
  <c r="E23" i="4"/>
  <c r="E24" i="4" s="1"/>
  <c r="D23" i="4"/>
  <c r="D24" i="4" s="1"/>
  <c r="D22" i="4"/>
  <c r="C22" i="4" s="1"/>
  <c r="X22" i="4" s="1"/>
  <c r="X21" i="4"/>
  <c r="W79" i="5"/>
  <c r="V79" i="5"/>
  <c r="V97" i="5" s="1"/>
  <c r="U79" i="5"/>
  <c r="T79" i="5"/>
  <c r="S79" i="5"/>
  <c r="Q79" i="5"/>
  <c r="Q97" i="5" s="1"/>
  <c r="P79" i="5"/>
  <c r="O79" i="5"/>
  <c r="N79" i="5"/>
  <c r="M79" i="5"/>
  <c r="L79" i="5"/>
  <c r="K79" i="5"/>
  <c r="J79" i="5"/>
  <c r="I79" i="5"/>
  <c r="I97" i="5" s="1"/>
  <c r="H79" i="5"/>
  <c r="G79" i="5"/>
  <c r="F79" i="5"/>
  <c r="E79" i="5"/>
  <c r="E97" i="5" s="1"/>
  <c r="D79" i="5"/>
  <c r="R78" i="5"/>
  <c r="C78" i="5" s="1"/>
  <c r="X77" i="5"/>
  <c r="X76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3" i="5"/>
  <c r="W74" i="5" s="1"/>
  <c r="D73" i="5"/>
  <c r="D74" i="5" s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3" i="6"/>
  <c r="J85" i="2" s="1"/>
  <c r="W22" i="6"/>
  <c r="C22" i="6" s="1"/>
  <c r="W21" i="6"/>
  <c r="C21" i="6" s="1"/>
  <c r="J82" i="2" s="1"/>
  <c r="W19" i="6"/>
  <c r="C19" i="6" s="1"/>
  <c r="J80" i="2" s="1"/>
  <c r="G19" i="4"/>
  <c r="W19" i="4"/>
  <c r="X25" i="4"/>
  <c r="X15" i="4"/>
  <c r="W18" i="4"/>
  <c r="V18" i="4"/>
  <c r="V19" i="4" s="1"/>
  <c r="U18" i="4"/>
  <c r="U19" i="4" s="1"/>
  <c r="T18" i="4"/>
  <c r="T19" i="4" s="1"/>
  <c r="S18" i="4"/>
  <c r="S19" i="4" s="1"/>
  <c r="R18" i="4"/>
  <c r="R19" i="4" s="1"/>
  <c r="Q18" i="4"/>
  <c r="Q19" i="4" s="1"/>
  <c r="P18" i="4"/>
  <c r="P19" i="4" s="1"/>
  <c r="O18" i="4"/>
  <c r="O19" i="4" s="1"/>
  <c r="N18" i="4"/>
  <c r="N19" i="4" s="1"/>
  <c r="M18" i="4"/>
  <c r="M19" i="4" s="1"/>
  <c r="L18" i="4"/>
  <c r="L19" i="4" s="1"/>
  <c r="K18" i="4"/>
  <c r="K19" i="4" s="1"/>
  <c r="J18" i="4"/>
  <c r="J19" i="4" s="1"/>
  <c r="I18" i="4"/>
  <c r="I19" i="4" s="1"/>
  <c r="H18" i="4"/>
  <c r="H19" i="4" s="1"/>
  <c r="G18" i="4"/>
  <c r="F18" i="4"/>
  <c r="F19" i="4" s="1"/>
  <c r="E18" i="4"/>
  <c r="E19" i="4" s="1"/>
  <c r="D18" i="4"/>
  <c r="D19" i="4" s="1"/>
  <c r="N17" i="4"/>
  <c r="C17" i="4" s="1"/>
  <c r="J73" i="2" s="1"/>
  <c r="J74" i="2" s="1"/>
  <c r="J75" i="2" s="1"/>
  <c r="X16" i="4"/>
  <c r="T97" i="5" l="1"/>
  <c r="U97" i="5"/>
  <c r="D33" i="4"/>
  <c r="S97" i="5"/>
  <c r="F97" i="5"/>
  <c r="J97" i="5"/>
  <c r="N97" i="5"/>
  <c r="J121" i="2"/>
  <c r="J122" i="2" s="1"/>
  <c r="K97" i="5"/>
  <c r="O97" i="5"/>
  <c r="X32" i="4"/>
  <c r="J159" i="2"/>
  <c r="J160" i="2" s="1"/>
  <c r="G97" i="5"/>
  <c r="H97" i="5"/>
  <c r="L97" i="5"/>
  <c r="P97" i="5"/>
  <c r="M97" i="5"/>
  <c r="C33" i="4"/>
  <c r="M160" i="2" s="1"/>
  <c r="Y23" i="6"/>
  <c r="D93" i="5"/>
  <c r="D97" i="5" s="1"/>
  <c r="X81" i="5"/>
  <c r="J124" i="2"/>
  <c r="J145" i="2"/>
  <c r="X23" i="6"/>
  <c r="J83" i="2"/>
  <c r="Y22" i="6"/>
  <c r="X22" i="6"/>
  <c r="Y21" i="6"/>
  <c r="X33" i="4"/>
  <c r="C23" i="4"/>
  <c r="W109" i="5"/>
  <c r="X107" i="5"/>
  <c r="X108" i="5"/>
  <c r="C105" i="5"/>
  <c r="X105" i="5" s="1"/>
  <c r="C91" i="5"/>
  <c r="J134" i="2" s="1"/>
  <c r="C84" i="5"/>
  <c r="C90" i="5"/>
  <c r="C82" i="5"/>
  <c r="W82" i="5"/>
  <c r="W97" i="5" s="1"/>
  <c r="C79" i="5"/>
  <c r="X78" i="5"/>
  <c r="R79" i="5"/>
  <c r="R97" i="5" s="1"/>
  <c r="C73" i="5"/>
  <c r="Y19" i="6"/>
  <c r="X19" i="6"/>
  <c r="X21" i="6"/>
  <c r="C18" i="4"/>
  <c r="X17" i="4"/>
  <c r="C93" i="5" l="1"/>
  <c r="C74" i="5"/>
  <c r="J96" i="2"/>
  <c r="C85" i="5"/>
  <c r="J127" i="2"/>
  <c r="J125" i="2"/>
  <c r="J133" i="2"/>
  <c r="J136" i="2" s="1"/>
  <c r="J142" i="2"/>
  <c r="J146" i="2" s="1"/>
  <c r="C109" i="5"/>
  <c r="X23" i="4"/>
  <c r="C24" i="4"/>
  <c r="X24" i="4" s="1"/>
  <c r="X18" i="4"/>
  <c r="C19" i="4"/>
  <c r="X19" i="4" s="1"/>
  <c r="C97" i="5" l="1"/>
  <c r="M146" i="2"/>
  <c r="J128" i="2"/>
  <c r="J140" i="2" s="1"/>
  <c r="M140" i="2" s="1"/>
  <c r="J97" i="2"/>
  <c r="AD51" i="5"/>
  <c r="W51" i="5" s="1"/>
  <c r="D51" i="5"/>
  <c r="W50" i="5"/>
  <c r="D50" i="5"/>
  <c r="W49" i="5"/>
  <c r="E49" i="5"/>
  <c r="D49" i="5" s="1"/>
  <c r="W47" i="5"/>
  <c r="D47" i="5"/>
  <c r="D44" i="5"/>
  <c r="W43" i="5"/>
  <c r="D43" i="5"/>
  <c r="W32" i="5"/>
  <c r="D32" i="5"/>
  <c r="C50" i="5" l="1"/>
  <c r="J62" i="2" s="1"/>
  <c r="C51" i="5"/>
  <c r="J64" i="2" s="1"/>
  <c r="C47" i="5"/>
  <c r="J59" i="2" s="1"/>
  <c r="C49" i="5"/>
  <c r="J61" i="2" s="1"/>
  <c r="J42" i="2"/>
  <c r="J55" i="2"/>
  <c r="C44" i="5"/>
  <c r="J56" i="2" s="1"/>
  <c r="H50" i="2"/>
  <c r="H151" i="2"/>
  <c r="I94" i="2"/>
  <c r="I98" i="2" s="1"/>
  <c r="H94" i="2"/>
  <c r="H98" i="2" s="1"/>
  <c r="H87" i="2"/>
  <c r="H69" i="2"/>
  <c r="H70" i="2" s="1"/>
  <c r="I50" i="2"/>
  <c r="F63" i="5" l="1"/>
  <c r="F64" i="5" s="1"/>
  <c r="G63" i="5"/>
  <c r="G64" i="5" s="1"/>
  <c r="H63" i="5"/>
  <c r="H64" i="5" s="1"/>
  <c r="I63" i="5"/>
  <c r="I64" i="5" s="1"/>
  <c r="J63" i="5"/>
  <c r="J64" i="5" s="1"/>
  <c r="K63" i="5"/>
  <c r="K64" i="5" s="1"/>
  <c r="L63" i="5"/>
  <c r="L64" i="5" s="1"/>
  <c r="M63" i="5"/>
  <c r="M64" i="5" s="1"/>
  <c r="N63" i="5"/>
  <c r="N64" i="5" s="1"/>
  <c r="O63" i="5"/>
  <c r="O64" i="5" s="1"/>
  <c r="P63" i="5"/>
  <c r="P64" i="5" s="1"/>
  <c r="Q63" i="5"/>
  <c r="Q64" i="5" s="1"/>
  <c r="R63" i="5"/>
  <c r="R64" i="5" s="1"/>
  <c r="S63" i="5"/>
  <c r="S64" i="5" s="1"/>
  <c r="T63" i="5"/>
  <c r="T64" i="5" s="1"/>
  <c r="U63" i="5"/>
  <c r="U64" i="5" s="1"/>
  <c r="V63" i="5"/>
  <c r="V64" i="5" s="1"/>
  <c r="W63" i="5"/>
  <c r="W64" i="5" s="1"/>
  <c r="D62" i="5"/>
  <c r="C62" i="5" s="1"/>
  <c r="J84" i="2" s="1"/>
  <c r="E34" i="5"/>
  <c r="E38" i="5" s="1"/>
  <c r="F34" i="5"/>
  <c r="F38" i="5" s="1"/>
  <c r="G34" i="5"/>
  <c r="G38" i="5" s="1"/>
  <c r="H34" i="5"/>
  <c r="H38" i="5" s="1"/>
  <c r="I34" i="5"/>
  <c r="I38" i="5" s="1"/>
  <c r="J34" i="5"/>
  <c r="J38" i="5" s="1"/>
  <c r="K34" i="5"/>
  <c r="K38" i="5" s="1"/>
  <c r="L34" i="5"/>
  <c r="L38" i="5" s="1"/>
  <c r="M34" i="5"/>
  <c r="M38" i="5" s="1"/>
  <c r="N34" i="5"/>
  <c r="N38" i="5" s="1"/>
  <c r="O34" i="5"/>
  <c r="O38" i="5" s="1"/>
  <c r="P34" i="5"/>
  <c r="P38" i="5" s="1"/>
  <c r="Q34" i="5"/>
  <c r="Q38" i="5" s="1"/>
  <c r="R34" i="5"/>
  <c r="R38" i="5" s="1"/>
  <c r="S34" i="5"/>
  <c r="S38" i="5" s="1"/>
  <c r="T34" i="5"/>
  <c r="T38" i="5" s="1"/>
  <c r="U34" i="5"/>
  <c r="U38" i="5" s="1"/>
  <c r="V34" i="5"/>
  <c r="V38" i="5" s="1"/>
  <c r="D30" i="5"/>
  <c r="J44" i="2" l="1"/>
  <c r="A53" i="2" l="1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A54" i="2" l="1"/>
  <c r="X15" i="6"/>
  <c r="X16" i="6"/>
  <c r="F102" i="5"/>
  <c r="F103" i="5" s="1"/>
  <c r="G102" i="5"/>
  <c r="G103" i="5" s="1"/>
  <c r="H102" i="5"/>
  <c r="H103" i="5" s="1"/>
  <c r="I102" i="5"/>
  <c r="I103" i="5" s="1"/>
  <c r="J102" i="5"/>
  <c r="J103" i="5" s="1"/>
  <c r="K102" i="5"/>
  <c r="K103" i="5" s="1"/>
  <c r="L102" i="5"/>
  <c r="L103" i="5" s="1"/>
  <c r="M102" i="5"/>
  <c r="M103" i="5" s="1"/>
  <c r="O102" i="5"/>
  <c r="O103" i="5" s="1"/>
  <c r="Q102" i="5"/>
  <c r="Q103" i="5" s="1"/>
  <c r="R102" i="5"/>
  <c r="R103" i="5" s="1"/>
  <c r="S102" i="5"/>
  <c r="S103" i="5" s="1"/>
  <c r="T102" i="5"/>
  <c r="T103" i="5" s="1"/>
  <c r="U102" i="5"/>
  <c r="U103" i="5" s="1"/>
  <c r="V102" i="5"/>
  <c r="V103" i="5" s="1"/>
  <c r="E71" i="5"/>
  <c r="E75" i="5" s="1"/>
  <c r="F71" i="5"/>
  <c r="F75" i="5" s="1"/>
  <c r="G71" i="5"/>
  <c r="G75" i="5" s="1"/>
  <c r="H71" i="5"/>
  <c r="H75" i="5" s="1"/>
  <c r="I71" i="5"/>
  <c r="I75" i="5" s="1"/>
  <c r="J71" i="5"/>
  <c r="J75" i="5" s="1"/>
  <c r="K71" i="5"/>
  <c r="K75" i="5" s="1"/>
  <c r="L71" i="5"/>
  <c r="L75" i="5" s="1"/>
  <c r="M71" i="5"/>
  <c r="M75" i="5" s="1"/>
  <c r="N71" i="5"/>
  <c r="N75" i="5" s="1"/>
  <c r="O71" i="5"/>
  <c r="O75" i="5" s="1"/>
  <c r="P71" i="5"/>
  <c r="P75" i="5" s="1"/>
  <c r="Q71" i="5"/>
  <c r="Q75" i="5" s="1"/>
  <c r="R71" i="5"/>
  <c r="R75" i="5" s="1"/>
  <c r="S71" i="5"/>
  <c r="S75" i="5" s="1"/>
  <c r="T71" i="5"/>
  <c r="T75" i="5" s="1"/>
  <c r="U71" i="5"/>
  <c r="U75" i="5" s="1"/>
  <c r="V71" i="5"/>
  <c r="V75" i="5" s="1"/>
  <c r="W71" i="5"/>
  <c r="W75" i="5" s="1"/>
  <c r="H57" i="5"/>
  <c r="H58" i="5" s="1"/>
  <c r="J57" i="5"/>
  <c r="J58" i="5" s="1"/>
  <c r="K57" i="5"/>
  <c r="K58" i="5" s="1"/>
  <c r="L57" i="5"/>
  <c r="L58" i="5" s="1"/>
  <c r="M57" i="5"/>
  <c r="M58" i="5" s="1"/>
  <c r="O57" i="5"/>
  <c r="O58" i="5" s="1"/>
  <c r="Q57" i="5"/>
  <c r="Q58" i="5" s="1"/>
  <c r="R57" i="5"/>
  <c r="R58" i="5" s="1"/>
  <c r="S57" i="5"/>
  <c r="S58" i="5" s="1"/>
  <c r="T57" i="5"/>
  <c r="T58" i="5" s="1"/>
  <c r="V57" i="5"/>
  <c r="V58" i="5" s="1"/>
  <c r="E13" i="5"/>
  <c r="E17" i="5" s="1"/>
  <c r="H13" i="5"/>
  <c r="H17" i="5" s="1"/>
  <c r="J13" i="5"/>
  <c r="J17" i="5" s="1"/>
  <c r="K13" i="5"/>
  <c r="K17" i="5" s="1"/>
  <c r="L13" i="5"/>
  <c r="L17" i="5" s="1"/>
  <c r="M13" i="5"/>
  <c r="M17" i="5" s="1"/>
  <c r="N13" i="5"/>
  <c r="N17" i="5" s="1"/>
  <c r="O13" i="5"/>
  <c r="O17" i="5" s="1"/>
  <c r="P13" i="5"/>
  <c r="P17" i="5" s="1"/>
  <c r="Q13" i="5"/>
  <c r="Q17" i="5" s="1"/>
  <c r="R13" i="5"/>
  <c r="R17" i="5" s="1"/>
  <c r="S13" i="5"/>
  <c r="S17" i="5" s="1"/>
  <c r="T13" i="5"/>
  <c r="T17" i="5" s="1"/>
  <c r="U13" i="5"/>
  <c r="U17" i="5" s="1"/>
  <c r="V13" i="5"/>
  <c r="V17" i="5" s="1"/>
  <c r="E28" i="4"/>
  <c r="E29" i="4" s="1"/>
  <c r="F28" i="4"/>
  <c r="F29" i="4" s="1"/>
  <c r="G28" i="4"/>
  <c r="G29" i="4" s="1"/>
  <c r="H28" i="4"/>
  <c r="I28" i="4"/>
  <c r="I29" i="4" s="1"/>
  <c r="J28" i="4"/>
  <c r="J29" i="4" s="1"/>
  <c r="K28" i="4"/>
  <c r="K29" i="4" s="1"/>
  <c r="L28" i="4"/>
  <c r="L29" i="4" s="1"/>
  <c r="M28" i="4"/>
  <c r="M29" i="4" s="1"/>
  <c r="N28" i="4"/>
  <c r="N29" i="4" s="1"/>
  <c r="O28" i="4"/>
  <c r="O29" i="4" s="1"/>
  <c r="P28" i="4"/>
  <c r="P29" i="4" s="1"/>
  <c r="Q28" i="4"/>
  <c r="Q29" i="4" s="1"/>
  <c r="R28" i="4"/>
  <c r="R29" i="4" s="1"/>
  <c r="S28" i="4"/>
  <c r="S29" i="4" s="1"/>
  <c r="T28" i="4"/>
  <c r="T29" i="4" s="1"/>
  <c r="U28" i="4"/>
  <c r="U29" i="4" s="1"/>
  <c r="V28" i="4"/>
  <c r="V29" i="4" s="1"/>
  <c r="W28" i="4"/>
  <c r="W29" i="4" s="1"/>
  <c r="H29" i="4"/>
  <c r="X26" i="4"/>
  <c r="X37" i="4"/>
  <c r="D25" i="6"/>
  <c r="D46" i="6" s="1"/>
  <c r="E25" i="6"/>
  <c r="E46" i="6" s="1"/>
  <c r="F25" i="6"/>
  <c r="F46" i="6" s="1"/>
  <c r="G25" i="6"/>
  <c r="G46" i="6" s="1"/>
  <c r="H25" i="6"/>
  <c r="H46" i="6" s="1"/>
  <c r="I25" i="6"/>
  <c r="I46" i="6" s="1"/>
  <c r="J25" i="6"/>
  <c r="J46" i="6" s="1"/>
  <c r="K25" i="6"/>
  <c r="K46" i="6" s="1"/>
  <c r="L25" i="6"/>
  <c r="L46" i="6" s="1"/>
  <c r="M25" i="6"/>
  <c r="M46" i="6" s="1"/>
  <c r="N25" i="6"/>
  <c r="N46" i="6" s="1"/>
  <c r="O25" i="6"/>
  <c r="O46" i="6" s="1"/>
  <c r="P25" i="6"/>
  <c r="P46" i="6" s="1"/>
  <c r="Q25" i="6"/>
  <c r="Q46" i="6" s="1"/>
  <c r="R25" i="6"/>
  <c r="R46" i="6" s="1"/>
  <c r="S25" i="6"/>
  <c r="S46" i="6" s="1"/>
  <c r="T25" i="6"/>
  <c r="T46" i="6" s="1"/>
  <c r="U25" i="6"/>
  <c r="U46" i="6" s="1"/>
  <c r="V25" i="6"/>
  <c r="V46" i="6" s="1"/>
  <c r="I87" i="2"/>
  <c r="I19" i="2"/>
  <c r="I26" i="2" s="1"/>
  <c r="H19" i="2"/>
  <c r="H26" i="2" s="1"/>
  <c r="I151" i="2"/>
  <c r="I152" i="2" s="1"/>
  <c r="H152" i="2"/>
  <c r="H161" i="2" l="1"/>
  <c r="S115" i="5"/>
  <c r="M115" i="5"/>
  <c r="R115" i="5"/>
  <c r="L115" i="5"/>
  <c r="H115" i="5"/>
  <c r="Q115" i="5"/>
  <c r="K115" i="5"/>
  <c r="V115" i="5"/>
  <c r="T115" i="5"/>
  <c r="O115" i="5"/>
  <c r="J115" i="5"/>
  <c r="A55" i="2"/>
  <c r="A56" i="2" s="1"/>
  <c r="A57" i="2" s="1"/>
  <c r="A58" i="2" s="1"/>
  <c r="A59" i="2" s="1"/>
  <c r="A60" i="2" s="1"/>
  <c r="A61" i="2" s="1"/>
  <c r="A62" i="2" s="1"/>
  <c r="A33" i="5"/>
  <c r="C30" i="7"/>
  <c r="C26" i="7"/>
  <c r="AG46" i="6"/>
  <c r="AC24" i="6"/>
  <c r="W24" i="6"/>
  <c r="C17" i="6"/>
  <c r="Y16" i="6"/>
  <c r="Y15" i="6"/>
  <c r="D112" i="5"/>
  <c r="W101" i="5"/>
  <c r="D101" i="5"/>
  <c r="P102" i="5"/>
  <c r="P103" i="5" s="1"/>
  <c r="W100" i="5"/>
  <c r="D70" i="5"/>
  <c r="C70" i="5" s="1"/>
  <c r="J93" i="2" s="1"/>
  <c r="D69" i="5"/>
  <c r="C69" i="5" s="1"/>
  <c r="J92" i="2" s="1"/>
  <c r="D68" i="5"/>
  <c r="C68" i="5" s="1"/>
  <c r="E61" i="5"/>
  <c r="E63" i="5" s="1"/>
  <c r="E64" i="5" s="1"/>
  <c r="W56" i="5"/>
  <c r="D56" i="5"/>
  <c r="W55" i="5"/>
  <c r="D55" i="5"/>
  <c r="W54" i="5"/>
  <c r="D54" i="5"/>
  <c r="W53" i="5"/>
  <c r="D53" i="5"/>
  <c r="I57" i="5"/>
  <c r="I58" i="5" s="1"/>
  <c r="I115" i="5" s="1"/>
  <c r="W48" i="5"/>
  <c r="D48" i="5"/>
  <c r="P57" i="5"/>
  <c r="P58" i="5" s="1"/>
  <c r="W46" i="5"/>
  <c r="D46" i="5"/>
  <c r="D45" i="5"/>
  <c r="D42" i="5"/>
  <c r="C42" i="5" s="1"/>
  <c r="J54" i="2" s="1"/>
  <c r="D41" i="5"/>
  <c r="D33" i="5"/>
  <c r="D28" i="5"/>
  <c r="D25" i="5"/>
  <c r="F13" i="5"/>
  <c r="F17" i="5" s="1"/>
  <c r="D12" i="5"/>
  <c r="I13" i="5"/>
  <c r="I17" i="5" s="1"/>
  <c r="D27" i="4"/>
  <c r="C71" i="5" l="1"/>
  <c r="C75" i="5" s="1"/>
  <c r="D113" i="5"/>
  <c r="D114" i="5" s="1"/>
  <c r="C112" i="5"/>
  <c r="C113" i="5" s="1"/>
  <c r="P115" i="5"/>
  <c r="A63" i="2"/>
  <c r="A64" i="2" s="1"/>
  <c r="A65" i="2" s="1"/>
  <c r="A66" i="2" s="1"/>
  <c r="A67" i="2" s="1"/>
  <c r="A68" i="2" s="1"/>
  <c r="A36" i="5"/>
  <c r="A41" i="5" s="1"/>
  <c r="A42" i="5" s="1"/>
  <c r="A43" i="5" s="1"/>
  <c r="A44" i="5" s="1"/>
  <c r="A45" i="5" s="1"/>
  <c r="A46" i="5" s="1"/>
  <c r="X17" i="6"/>
  <c r="C27" i="4"/>
  <c r="C28" i="4" s="1"/>
  <c r="C29" i="4" s="1"/>
  <c r="D28" i="4"/>
  <c r="D29" i="4" s="1"/>
  <c r="J91" i="2"/>
  <c r="J40" i="2"/>
  <c r="D61" i="5"/>
  <c r="D34" i="5"/>
  <c r="D38" i="5" s="1"/>
  <c r="C12" i="5"/>
  <c r="C33" i="5"/>
  <c r="J41" i="2" s="1"/>
  <c r="N102" i="5"/>
  <c r="N103" i="5" s="1"/>
  <c r="W25" i="6"/>
  <c r="W46" i="6" s="1"/>
  <c r="W13" i="5"/>
  <c r="W17" i="5" s="1"/>
  <c r="W57" i="5"/>
  <c r="W58" i="5" s="1"/>
  <c r="G57" i="5"/>
  <c r="G58" i="5" s="1"/>
  <c r="W102" i="5"/>
  <c r="W103" i="5" s="1"/>
  <c r="G13" i="5"/>
  <c r="G17" i="5" s="1"/>
  <c r="C41" i="5"/>
  <c r="D71" i="5"/>
  <c r="U57" i="5"/>
  <c r="U58" i="5" s="1"/>
  <c r="U115" i="5" s="1"/>
  <c r="E57" i="5"/>
  <c r="E58" i="5" s="1"/>
  <c r="F57" i="5"/>
  <c r="F58" i="5" s="1"/>
  <c r="F115" i="5" s="1"/>
  <c r="N57" i="5"/>
  <c r="N58" i="5" s="1"/>
  <c r="E102" i="5"/>
  <c r="E103" i="5" s="1"/>
  <c r="Y17" i="6"/>
  <c r="C48" i="5"/>
  <c r="J60" i="2" s="1"/>
  <c r="AF46" i="6"/>
  <c r="C18" i="6"/>
  <c r="X18" i="6" s="1"/>
  <c r="C101" i="5"/>
  <c r="J150" i="2" s="1"/>
  <c r="C100" i="5"/>
  <c r="C54" i="5"/>
  <c r="J66" i="2" s="1"/>
  <c r="C45" i="5"/>
  <c r="J57" i="2" s="1"/>
  <c r="C46" i="5"/>
  <c r="J58" i="2" s="1"/>
  <c r="C55" i="5"/>
  <c r="J67" i="2" s="1"/>
  <c r="C56" i="5"/>
  <c r="J68" i="2" s="1"/>
  <c r="C53" i="5"/>
  <c r="J65" i="2" s="1"/>
  <c r="AC25" i="6"/>
  <c r="AD46" i="6"/>
  <c r="AE46" i="6"/>
  <c r="G115" i="5" l="1"/>
  <c r="E115" i="5"/>
  <c r="N115" i="5"/>
  <c r="C57" i="5"/>
  <c r="C58" i="5" s="1"/>
  <c r="D63" i="5"/>
  <c r="D64" i="5" s="1"/>
  <c r="C61" i="5"/>
  <c r="C63" i="5" s="1"/>
  <c r="C24" i="6"/>
  <c r="C25" i="6" s="1"/>
  <c r="C46" i="6" s="1"/>
  <c r="C114" i="5"/>
  <c r="D75" i="5"/>
  <c r="A73" i="2"/>
  <c r="A78" i="2" s="1"/>
  <c r="A79" i="2" s="1"/>
  <c r="A80" i="2" s="1"/>
  <c r="X27" i="4"/>
  <c r="A47" i="5"/>
  <c r="A48" i="5" s="1"/>
  <c r="J94" i="2"/>
  <c r="J98" i="2" s="1"/>
  <c r="M98" i="2" s="1"/>
  <c r="J149" i="2"/>
  <c r="C102" i="5"/>
  <c r="C103" i="5" s="1"/>
  <c r="J37" i="2"/>
  <c r="J18" i="2"/>
  <c r="J155" i="2"/>
  <c r="J156" i="2" s="1"/>
  <c r="M156" i="2" s="1"/>
  <c r="D57" i="5"/>
  <c r="D58" i="5" s="1"/>
  <c r="J53" i="2"/>
  <c r="J69" i="2" s="1"/>
  <c r="D13" i="5"/>
  <c r="D17" i="5" s="1"/>
  <c r="D102" i="5"/>
  <c r="D103" i="5" s="1"/>
  <c r="D115" i="5" s="1"/>
  <c r="D10" i="7"/>
  <c r="Y18" i="6"/>
  <c r="J79" i="2"/>
  <c r="AC46" i="6"/>
  <c r="E13" i="7"/>
  <c r="E18" i="7"/>
  <c r="D18" i="7"/>
  <c r="J46" i="2" l="1"/>
  <c r="J50" i="2" s="1"/>
  <c r="A81" i="2"/>
  <c r="A82" i="2" s="1"/>
  <c r="A83" i="2" s="1"/>
  <c r="A84" i="2" s="1"/>
  <c r="A85" i="2" s="1"/>
  <c r="C64" i="5"/>
  <c r="A49" i="5"/>
  <c r="A50" i="5" s="1"/>
  <c r="A51" i="5" s="1"/>
  <c r="A52" i="5" s="1"/>
  <c r="A53" i="5" s="1"/>
  <c r="A54" i="5" s="1"/>
  <c r="J70" i="2"/>
  <c r="M70" i="2" s="1"/>
  <c r="J78" i="2"/>
  <c r="X24" i="6"/>
  <c r="X28" i="4"/>
  <c r="E14" i="7"/>
  <c r="E7" i="7"/>
  <c r="E9" i="7"/>
  <c r="E15" i="7"/>
  <c r="E12" i="7"/>
  <c r="E8" i="7"/>
  <c r="E20" i="7"/>
  <c r="C13" i="5"/>
  <c r="C17" i="5" s="1"/>
  <c r="E10" i="7"/>
  <c r="X25" i="6"/>
  <c r="J151" i="2"/>
  <c r="J152" i="2" s="1"/>
  <c r="M152" i="2" s="1"/>
  <c r="F18" i="7"/>
  <c r="C18" i="7" s="1"/>
  <c r="D21" i="7"/>
  <c r="D20" i="7"/>
  <c r="D6" i="7"/>
  <c r="D5" i="7"/>
  <c r="Y24" i="6"/>
  <c r="E4" i="7"/>
  <c r="D4" i="7"/>
  <c r="E19" i="7"/>
  <c r="D14" i="7"/>
  <c r="D11" i="7"/>
  <c r="E5" i="7"/>
  <c r="D17" i="7"/>
  <c r="E16" i="7"/>
  <c r="E11" i="7"/>
  <c r="A90" i="2" l="1"/>
  <c r="A91" i="2" s="1"/>
  <c r="A92" i="2" s="1"/>
  <c r="J86" i="2"/>
  <c r="J87" i="2" s="1"/>
  <c r="M87" i="2" s="1"/>
  <c r="X97" i="5"/>
  <c r="A55" i="5"/>
  <c r="A56" i="5" s="1"/>
  <c r="A61" i="5" s="1"/>
  <c r="A62" i="5" s="1"/>
  <c r="D7" i="7"/>
  <c r="X29" i="4"/>
  <c r="D19" i="7"/>
  <c r="D12" i="7"/>
  <c r="X46" i="6"/>
  <c r="D13" i="7"/>
  <c r="D16" i="7"/>
  <c r="D9" i="7"/>
  <c r="J19" i="2"/>
  <c r="J26" i="2" s="1"/>
  <c r="M26" i="2" s="1"/>
  <c r="D8" i="7"/>
  <c r="E17" i="7"/>
  <c r="E21" i="7"/>
  <c r="F19" i="7"/>
  <c r="F9" i="7"/>
  <c r="F15" i="7"/>
  <c r="F7" i="7"/>
  <c r="F14" i="7"/>
  <c r="C14" i="7" s="1"/>
  <c r="G18" i="7"/>
  <c r="F20" i="7"/>
  <c r="C20" i="7" s="1"/>
  <c r="F17" i="7"/>
  <c r="F12" i="7"/>
  <c r="F16" i="7"/>
  <c r="F5" i="7"/>
  <c r="C5" i="7" s="1"/>
  <c r="F21" i="7"/>
  <c r="F11" i="7"/>
  <c r="C11" i="7" s="1"/>
  <c r="Y25" i="6"/>
  <c r="F4" i="7"/>
  <c r="F13" i="7"/>
  <c r="F8" i="7"/>
  <c r="C8" i="7" s="1"/>
  <c r="A67" i="5" l="1"/>
  <c r="A68" i="5" s="1"/>
  <c r="A69" i="5" s="1"/>
  <c r="A70" i="5" s="1"/>
  <c r="A73" i="5" s="1"/>
  <c r="A78" i="5" s="1"/>
  <c r="A81" i="5" s="1"/>
  <c r="A84" i="5" s="1"/>
  <c r="A87" i="5" s="1"/>
  <c r="A90" i="5" s="1"/>
  <c r="J161" i="2"/>
  <c r="C9" i="7"/>
  <c r="G9" i="7" s="1"/>
  <c r="E6" i="7"/>
  <c r="C12" i="7"/>
  <c r="G12" i="7" s="1"/>
  <c r="C16" i="7"/>
  <c r="G16" i="7" s="1"/>
  <c r="C19" i="7"/>
  <c r="G19" i="7" s="1"/>
  <c r="C13" i="7"/>
  <c r="G13" i="7" s="1"/>
  <c r="C7" i="7"/>
  <c r="G7" i="7" s="1"/>
  <c r="C17" i="7"/>
  <c r="E24" i="7"/>
  <c r="G14" i="7"/>
  <c r="G5" i="7"/>
  <c r="F6" i="7"/>
  <c r="G20" i="7"/>
  <c r="C4" i="7"/>
  <c r="G4" i="7" s="1"/>
  <c r="G11" i="7"/>
  <c r="C21" i="7"/>
  <c r="G21" i="7" s="1"/>
  <c r="G8" i="7"/>
  <c r="C6" i="7" l="1"/>
  <c r="G6" i="7" s="1"/>
  <c r="G17" i="7"/>
  <c r="X34" i="4" l="1"/>
  <c r="D15" i="7"/>
  <c r="C15" i="7" s="1"/>
  <c r="D24" i="7" l="1"/>
  <c r="X35" i="4"/>
  <c r="A18" i="6" l="1"/>
  <c r="A19" i="6" s="1"/>
  <c r="C36" i="4"/>
  <c r="G15" i="7"/>
  <c r="A20" i="6" l="1"/>
  <c r="A21" i="6" s="1"/>
  <c r="A22" i="6" s="1"/>
  <c r="A23" i="6" s="1"/>
  <c r="A28" i="6" s="1"/>
  <c r="A31" i="6" s="1"/>
  <c r="A32" i="6" s="1"/>
  <c r="A33" i="6" s="1"/>
  <c r="A34" i="6" s="1"/>
  <c r="A37" i="6" s="1"/>
  <c r="A38" i="6" s="1"/>
  <c r="A39" i="6" s="1"/>
  <c r="D29" i="7"/>
  <c r="D31" i="7" s="1"/>
  <c r="X36" i="4"/>
  <c r="F10" i="7" l="1"/>
  <c r="C10" i="7" l="1"/>
  <c r="F24" i="7"/>
  <c r="Y46" i="6"/>
  <c r="X47" i="6" l="1"/>
  <c r="G10" i="7"/>
  <c r="C24" i="7"/>
  <c r="G24" i="7" s="1"/>
  <c r="C48" i="6"/>
  <c r="X48" i="6" l="1"/>
  <c r="F29" i="7"/>
  <c r="F31" i="7" l="1"/>
  <c r="A93" i="2" l="1"/>
  <c r="A96" i="2" s="1"/>
  <c r="A101" i="2" s="1"/>
  <c r="A104" i="2" s="1"/>
  <c r="A105" i="2" s="1"/>
  <c r="A106" i="2" s="1"/>
  <c r="A107" i="2" s="1"/>
  <c r="B24" i="7" l="1"/>
  <c r="I69" i="2" l="1"/>
  <c r="I70" i="2" s="1"/>
  <c r="I161" i="2" s="1"/>
  <c r="A40" i="6" l="1"/>
  <c r="A41" i="6" s="1"/>
  <c r="A42" i="6" s="1"/>
  <c r="A43" i="6" s="1"/>
  <c r="A91" i="5" l="1"/>
  <c r="A92" i="5" s="1"/>
  <c r="A95" i="5" l="1"/>
  <c r="A100" i="5" s="1"/>
  <c r="A101" i="5" s="1"/>
  <c r="A105" i="5" s="1"/>
  <c r="A106" i="5" s="1"/>
  <c r="A107" i="5" s="1"/>
  <c r="A108" i="5" s="1"/>
  <c r="A112" i="5" s="1"/>
  <c r="A110" i="2" l="1"/>
  <c r="A111" i="2" s="1"/>
  <c r="A112" i="2" s="1"/>
  <c r="A113" i="2" s="1"/>
  <c r="A114" i="2" s="1"/>
  <c r="A115" i="2" s="1"/>
  <c r="A116" i="2" s="1"/>
  <c r="A121" i="2" l="1"/>
  <c r="A124" i="2" s="1"/>
  <c r="A127" i="2" s="1"/>
  <c r="A130" i="2" l="1"/>
  <c r="A133" i="2" s="1"/>
  <c r="A134" i="2" s="1"/>
  <c r="A135" i="2" s="1"/>
  <c r="A138" i="2" s="1"/>
  <c r="A142" i="2" s="1"/>
  <c r="A143" i="2" s="1"/>
  <c r="A144" i="2" s="1"/>
  <c r="A145" i="2" s="1"/>
  <c r="A149" i="2" s="1"/>
  <c r="A150" i="2" s="1"/>
  <c r="A155" i="2" s="1"/>
  <c r="A159" i="2" s="1"/>
  <c r="C26" i="5"/>
  <c r="C27" i="5"/>
  <c r="C29" i="5"/>
  <c r="W34" i="5"/>
  <c r="W38" i="5" s="1"/>
  <c r="W115" i="5" s="1"/>
  <c r="C31" i="5"/>
  <c r="C34" i="5"/>
  <c r="C38" i="5" s="1"/>
  <c r="C115" i="5" l="1"/>
  <c r="M50" i="2"/>
  <c r="C116" i="5" l="1"/>
  <c r="J162" i="2" s="1"/>
  <c r="J163" i="2" s="1"/>
  <c r="M161" i="2"/>
  <c r="C117" i="5" l="1"/>
  <c r="E29" i="7" s="1"/>
  <c r="C29" i="7" l="1"/>
  <c r="C31" i="7" s="1"/>
  <c r="E31" i="7"/>
  <c r="J164" i="2"/>
  <c r="M163" i="2"/>
</calcChain>
</file>

<file path=xl/sharedStrings.xml><?xml version="1.0" encoding="utf-8"?>
<sst xmlns="http://schemas.openxmlformats.org/spreadsheetml/2006/main" count="947" uniqueCount="262">
  <si>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</si>
  <si>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</si>
  <si>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</si>
  <si>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</si>
  <si>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</si>
  <si>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</si>
  <si>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</si>
  <si>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</si>
  <si>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</si>
  <si>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</si>
  <si>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</si>
  <si>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</si>
  <si>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</si>
  <si>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</si>
  <si>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</si>
  <si>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</si>
  <si>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</si>
  <si>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</si>
  <si>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</si>
  <si>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</si>
  <si>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</si>
  <si>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</si>
  <si>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</si>
  <si>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</si>
  <si>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Подъезд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</si>
  <si>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</si>
  <si>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</si>
  <si>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</si>
  <si>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</si>
  <si>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</si>
  <si>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</si>
  <si>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</si>
  <si>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</si>
  <si>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</si>
  <si>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</si>
  <si>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</si>
  <si>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Город Волхов</t>
  </si>
  <si>
    <t>Г. Волхов, ул. Молодежная, д. 23б</t>
  </si>
  <si>
    <t>Выборгский район</t>
  </si>
  <si>
    <t>Муниципальное образование Город Выборг</t>
  </si>
  <si>
    <t xml:space="preserve">Г. Выборг, бул. Кутузова, д. 16  </t>
  </si>
  <si>
    <t>Г. Выборг, ул. Большая Каменная, д. 3в</t>
  </si>
  <si>
    <t>Г. Выборг, ул. Гагарина, д. 29а</t>
  </si>
  <si>
    <t>Итого по Выборгскому району</t>
  </si>
  <si>
    <t>Гатчинский муниципальный район</t>
  </si>
  <si>
    <t>ЭС, фасад с утепл.</t>
  </si>
  <si>
    <t>Муниципальное образование Город Гатчина</t>
  </si>
  <si>
    <t>Г. Гатчина, бул. Авиаторов, д. 3</t>
  </si>
  <si>
    <t>нет данных ( м3 или м2)по подвалу</t>
  </si>
  <si>
    <t>Г. Гатчина, бул. Авиаторов, д. 3, кор. 2</t>
  </si>
  <si>
    <t>ЭС</t>
  </si>
  <si>
    <t>Г. Гатчина, просп. 25 Октября, д. 53</t>
  </si>
  <si>
    <t>ЭС, ТС,ХВС</t>
  </si>
  <si>
    <t>Г. Гатчина, ул. Володарского, д. 30</t>
  </si>
  <si>
    <t>ЭС. Фасад с утеплением.</t>
  </si>
  <si>
    <t>Г. Гатчина, ул. Крупской, д. 5</t>
  </si>
  <si>
    <t>ХВС</t>
  </si>
  <si>
    <t>Г. Гатчина, ул. Урицкого, д. 21</t>
  </si>
  <si>
    <t>Г. Гатчина, ул. Урицкого, д. 26</t>
  </si>
  <si>
    <t>Г. Гатчина, ул. Урицкого, д. 28</t>
  </si>
  <si>
    <t>Г. Гатчина, ул. Филиппова, д. 2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</si>
  <si>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</si>
  <si>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</si>
  <si>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</si>
  <si>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Г. Кировск, ул. Новая, д. 11</t>
  </si>
  <si>
    <t>Г. Кировск, ул. Новая, д. 16</t>
  </si>
  <si>
    <t>Итого по Кировскому району:</t>
  </si>
  <si>
    <t>Ломоносовский муниципальный район</t>
  </si>
  <si>
    <t>Муниципальное образование Горбунковское сельское поселение</t>
  </si>
  <si>
    <t>Дер. Разбегаево, д. 51</t>
  </si>
  <si>
    <t>Дер. Разбегаево, д. 53</t>
  </si>
  <si>
    <t>Дер. Разбегаево, д. 55</t>
  </si>
  <si>
    <t>Итого по Ломоносовскому муниципальному району</t>
  </si>
  <si>
    <t>Сланцевский муниципальный район</t>
  </si>
  <si>
    <t>во</t>
  </si>
  <si>
    <t>гвс</t>
  </si>
  <si>
    <t>хвс</t>
  </si>
  <si>
    <t>тс</t>
  </si>
  <si>
    <t>ЭЛ</t>
  </si>
  <si>
    <t>Муниципальное образование Сланцевское городское поселение</t>
  </si>
  <si>
    <t>Г. Сланцы, ул. Баранова, д. 10</t>
  </si>
  <si>
    <t>Г. Сланцы, ул. Партизанская, д. 21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</si>
  <si>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</si>
  <si>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</si>
  <si>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</si>
  <si>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</si>
  <si>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Итого по Тихвинский муниципальному району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</si>
  <si>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</si>
  <si>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</si>
  <si>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</si>
  <si>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</si>
  <si>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</si>
  <si>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</si>
  <si>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</si>
  <si>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</si>
  <si>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</si>
  <si>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</si>
  <si>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</si>
  <si>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</si>
  <si>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</si>
  <si>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</si>
  <si>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панельный</t>
  </si>
  <si>
    <t>блочный</t>
  </si>
  <si>
    <t>кирпич</t>
  </si>
  <si>
    <t>Волховский муниципальный район</t>
  </si>
  <si>
    <t>Итого по Волховскому муниципальному району</t>
  </si>
  <si>
    <t>монолит</t>
  </si>
  <si>
    <t>СС</t>
  </si>
  <si>
    <t>5-6</t>
  </si>
  <si>
    <t>Блочный</t>
  </si>
  <si>
    <t>кирпично-монолитный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</si>
  <si>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</si>
  <si>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</si>
  <si>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</si>
  <si>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</si>
  <si>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</si>
  <si>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</si>
  <si>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</si>
  <si>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</si>
  <si>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</si>
  <si>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</si>
  <si>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</si>
  <si>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</si>
  <si>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</si>
  <si>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</si>
  <si>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</si>
  <si>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</si>
  <si>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</si>
  <si>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</si>
  <si>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</si>
  <si>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</si>
  <si>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</si>
  <si>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</si>
  <si>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Кирпичный</t>
  </si>
  <si>
    <t>6,6,6,8</t>
  </si>
  <si>
    <t>Кирпич оштукатурен.</t>
  </si>
  <si>
    <t>Панельный</t>
  </si>
  <si>
    <t xml:space="preserve">кирпичный 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</si>
  <si>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</si>
  <si>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</si>
  <si>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</si>
  <si>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</si>
  <si>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</si>
  <si>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СЕТИ</t>
  </si>
  <si>
    <t>х</t>
  </si>
  <si>
    <t xml:space="preserve">Г. Выборг, ш. Ленинградское, д. 7  </t>
  </si>
  <si>
    <t>г.Кировск, ул.Северная, д.7</t>
  </si>
  <si>
    <t>Итого по Кировскому муниципальному району:</t>
  </si>
  <si>
    <t>Итого по Ломоносовскому муниципальному району:</t>
  </si>
  <si>
    <t xml:space="preserve">Итого по Выборгскому району </t>
  </si>
  <si>
    <t>Итого по Кировскому муниципальному району</t>
  </si>
  <si>
    <t xml:space="preserve">Г. Выборг, ул. Димитрова, д. 3  </t>
  </si>
  <si>
    <t>ССРО</t>
  </si>
  <si>
    <t>Г. Гатчина, просп. 25 Октября, д. 37</t>
  </si>
  <si>
    <t>Г. Гатчина, просп. 25 Октября, д. 52</t>
  </si>
  <si>
    <t>фасад с утеплением</t>
  </si>
  <si>
    <t>Г. Гатчина, ул. Гагарина, д. 14</t>
  </si>
  <si>
    <t>Г. Гатчина, ул. Лейтенанта Шмидта, д. 6</t>
  </si>
  <si>
    <t>Г. Гатчина, ул. Новоселов, д. 4</t>
  </si>
  <si>
    <t>Г. Гатчина, ул. Рощинская, д. 3, кор. 2</t>
  </si>
  <si>
    <t>Кирпич</t>
  </si>
  <si>
    <t>ЭС,ТС,ХВС+ГВС</t>
  </si>
  <si>
    <t>Кингисеппский муниципальный район</t>
  </si>
  <si>
    <t>Муниципальное образование Котельское сельское поселение</t>
  </si>
  <si>
    <t>Пос. Неппово, д. 24</t>
  </si>
  <si>
    <t>крупнопанельный</t>
  </si>
  <si>
    <t xml:space="preserve">Итого по Кингисеппскому муниципальному району </t>
  </si>
  <si>
    <t>Г. Кировск, ул. Новая, д. 7</t>
  </si>
  <si>
    <t>Г. Кировск, ул. Пионерская, д. 1</t>
  </si>
  <si>
    <t>Г. Кировск, ул. Северная, д. 3</t>
  </si>
  <si>
    <t>Пос. Молодцово, д. 2</t>
  </si>
  <si>
    <t>Муниципальное образование Русско-Высоцкое сельское поселение</t>
  </si>
  <si>
    <t>С. Русско-Высоцкое, д. 12</t>
  </si>
  <si>
    <t>Приозерский муниципальный район</t>
  </si>
  <si>
    <t>Муниципальное образование Громовское сельское поселение</t>
  </si>
  <si>
    <t>Пос. Громово, ул. Центральная, д. 5</t>
  </si>
  <si>
    <t>Итого по Приозерскому муниципальному району</t>
  </si>
  <si>
    <t>Муниципальное образование Мельниковское сельское поселение</t>
  </si>
  <si>
    <t>Пос. Мельниково, ул. Калинина, д. 6</t>
  </si>
  <si>
    <t>Муниципальное образование Раздольевское сельское поселение</t>
  </si>
  <si>
    <t>Дер. Раздолье, ул. Центральная, д. 10</t>
  </si>
  <si>
    <t>Муниципальное образование Севастьяновское сельское поселение</t>
  </si>
  <si>
    <t>Пос. Севастьяново, ул. Новая, д. 1</t>
  </si>
  <si>
    <t>Пос. Севастьяново, ул. Новая, д. 2</t>
  </si>
  <si>
    <t>Пос. Севастьяново, ул. Новая, д. 3</t>
  </si>
  <si>
    <t>Сосновоборский городской округ</t>
  </si>
  <si>
    <t>Г. Сосновый Бор, просп. Героев, д. 8</t>
  </si>
  <si>
    <t>Г. Сосновый Бор, ул. Солнечная, д. 22</t>
  </si>
  <si>
    <t>188</t>
  </si>
  <si>
    <t>Г. Сосновый Бор, ул. Солнечная, д. 43</t>
  </si>
  <si>
    <t>187</t>
  </si>
  <si>
    <t>Муниципальное образование Тосненское городское поселение</t>
  </si>
  <si>
    <t>Г. Тосно, ш. Барыбина, д. 11</t>
  </si>
  <si>
    <t>Тосненский район</t>
  </si>
  <si>
    <t>ПРОСЯТ ФАСАД СМР, т.к ССРО</t>
  </si>
  <si>
    <t>Раздел II. Реестр многоквартирных домов, которые подлежат капитальному ремонту в 2020 году, за счет средств собственников, образующих фонд капитального ремонта на специальных счетах.</t>
  </si>
  <si>
    <t>Раздел III. Реестр многоквартирных домов, которые подлежат капитальному ремонту в 2021 году, за счет средств собственников, образующих фонд капитального ремонта на специальных счетах.</t>
  </si>
  <si>
    <t>Раздел IV. Реестр многоквартирных домов, которые подлежат капитальному ремонту в 2022 году, за счет средств собственников, образующих фонд капитального ремонта на специальных счетах.</t>
  </si>
  <si>
    <t>Итого по Приозерскому муниципальному  району</t>
  </si>
  <si>
    <t>Г. Новая Ладога, микрорайон В, д. 8</t>
  </si>
  <si>
    <t>Муниципальное образование Новоладожское городское поселение</t>
  </si>
  <si>
    <t>220</t>
  </si>
  <si>
    <t>С. Паша, ул. Советская, д. 104</t>
  </si>
  <si>
    <t>деревянный</t>
  </si>
  <si>
    <t>Муниципальное образование Пашское сельское поселение</t>
  </si>
  <si>
    <t>Итого по Волховскому району:</t>
  </si>
  <si>
    <t>Г.п. им. Морозова, квартал ст. Петрокрепость, д. 5</t>
  </si>
  <si>
    <t>Муниципальное образование Морозовское городское поселение</t>
  </si>
  <si>
    <t>Всеволожский муниципальный район</t>
  </si>
  <si>
    <t>Итого по Всеволожскому муниципальному району</t>
  </si>
  <si>
    <t xml:space="preserve">Итого по Всеволожскому муниципальному району </t>
  </si>
  <si>
    <t>Муниципальное образование Селезневское сельское поселение</t>
  </si>
  <si>
    <t>Пос. Селезнево, ул. Центральная, д. 8</t>
  </si>
  <si>
    <t>4 934,4</t>
  </si>
  <si>
    <t>Г. Гатчина, ул. Рощинская, д. 18</t>
  </si>
  <si>
    <t>Фасад с утеплением</t>
  </si>
  <si>
    <t>Г. Кировск, ул. Набережная, д. 3</t>
  </si>
  <si>
    <t>Дер. Горбунки, д. 14, кор. 1,2,3</t>
  </si>
  <si>
    <t>Лужский муниципальный район</t>
  </si>
  <si>
    <t>Муниципальное образование Володарское сельское поселение</t>
  </si>
  <si>
    <t>Пос. Володарское, д. 3</t>
  </si>
  <si>
    <t>Итого по Лужскому муниципальному району:</t>
  </si>
  <si>
    <t>Муниципальное образование Дзержинское сельское поселение</t>
  </si>
  <si>
    <t>Дер. Торошковичи, ул. Новая, д. 1</t>
  </si>
  <si>
    <t>Дер. Торошковичи, ул. Новая, д. 6</t>
  </si>
  <si>
    <t>Пос. Дзержинского, ул. Лужская, д. 4</t>
  </si>
  <si>
    <t>Пос. Дзержинского, ул. Лужская, д. 6</t>
  </si>
  <si>
    <t>Муниципальное образование Ям-Тесовское сельское поселение</t>
  </si>
  <si>
    <t>Дер. Ям-Тесово, ул. Центральная, д. 10</t>
  </si>
  <si>
    <t>Дер. Ям-Тесово, ул. Центральная, д. 6</t>
  </si>
  <si>
    <t>Дер. Ям-Тесово, ул. Центральная, д. 9</t>
  </si>
  <si>
    <t>Пос. Приозерный, ул. Центральная, д. 3</t>
  </si>
  <si>
    <t>Пос. Приозерный, ул. Центральная, д. 5</t>
  </si>
  <si>
    <t>Пос. Приозерный, ул. Центральная, д. 6</t>
  </si>
  <si>
    <t>Пос. Приозерный, ул. Центральная, д. 7</t>
  </si>
  <si>
    <t>Муниципальное образование Ромашкинское сельское поселение</t>
  </si>
  <si>
    <t>Пос. Суходолье, ул. Октябрьская, д. 7</t>
  </si>
  <si>
    <t>Муниципальное образование Сосновское сельское поселение</t>
  </si>
  <si>
    <t>Пос. Сосново, ул. Железнодорожная, д. 51</t>
  </si>
  <si>
    <t>Г. Сосновый Бор, ул. Космонавтов,  д. 20</t>
  </si>
  <si>
    <t>84</t>
  </si>
  <si>
    <t>Стоимость капитального ремонтаза счет средств собственников помещений в МКД</t>
  </si>
  <si>
    <t>Итого по Кингисеппскому муниципальному району</t>
  </si>
  <si>
    <t>Муниципальное образование Муринское сельское поселение</t>
  </si>
  <si>
    <t>Пос. Мурино, ул. Оборонная, д. 18</t>
  </si>
  <si>
    <t>Ж/б панели</t>
  </si>
  <si>
    <t xml:space="preserve">Г. Выборг, ш. Ленинградское, д. 10  </t>
  </si>
  <si>
    <t xml:space="preserve">Г. Выборг, ул. Крепостная, д. 7  </t>
  </si>
  <si>
    <t xml:space="preserve">Г. Выборг, просп. Суворова, д. 1  </t>
  </si>
  <si>
    <t xml:space="preserve">Г. Выборг, бул. Кутузова, д. 31  </t>
  </si>
  <si>
    <t>Муниципальное образование Муринское городское поселение</t>
  </si>
  <si>
    <t>УТВЕРЖДЕН</t>
  </si>
  <si>
    <t>постановлением Правительства</t>
  </si>
  <si>
    <t>Ленинградской области</t>
  </si>
  <si>
    <t>(приложение 5)</t>
  </si>
  <si>
    <t>Раздел I. Перечень многоквартиных домов, которые подлежат капитальному ремонту в 2020-2022 годах, за счет средств собственников, образующих фонд капитального ремонта на специальных счетах.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</si>
  <si>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</si>
  <si>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".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</si>
  <si>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</si>
  <si>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</si>
  <si>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</si>
  <si>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от 26 октября 2020 года N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</si>
</sst>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0">
    <xf numFmtId="0" fontId="0" fillId="0" borderId="0"/>
    <xf numFmtId="0" fontId="2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6" fillId="0" borderId="0"/>
    <xf numFmtId="0" fontId="9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12">
    <xf numFmtId="0" fontId="0" fillId="0" borderId="0" xfId="0"/>
    <xf numFmtId="0" fontId="0" fillId="0" borderId="0" xfId="0"/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vertical="center"/>
    </xf>
    <xf numFmtId="0" fontId="5" fillId="2" borderId="9" xfId="1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5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4" fontId="4" fillId="2" borderId="9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5" fillId="2" borderId="21" xfId="0" applyNumberFormat="1" applyFont="1" applyFill="1" applyBorder="1" applyAlignment="1">
      <alignment horizontal="right" vertical="center" indent="1"/>
    </xf>
    <xf numFmtId="4" fontId="5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indent="1"/>
    </xf>
    <xf numFmtId="4" fontId="5" fillId="2" borderId="2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5" fillId="2" borderId="3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1" fontId="5" fillId="2" borderId="37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vertical="center"/>
    </xf>
    <xf numFmtId="4" fontId="5" fillId="2" borderId="40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vertical="center" wrapText="1"/>
    </xf>
    <xf numFmtId="4" fontId="5" fillId="2" borderId="37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vertical="center" wrapText="1"/>
    </xf>
    <xf numFmtId="0" fontId="4" fillId="2" borderId="37" xfId="1" applyFont="1" applyFill="1" applyBorder="1" applyAlignment="1">
      <alignment horizontal="left" vertical="center"/>
    </xf>
    <xf numFmtId="4" fontId="5" fillId="2" borderId="39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4" fontId="4" fillId="2" borderId="37" xfId="0" applyNumberFormat="1" applyFont="1" applyFill="1" applyBorder="1" applyAlignment="1">
      <alignment horizontal="left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0" fontId="4" fillId="2" borderId="41" xfId="1" applyFont="1" applyFill="1" applyBorder="1" applyAlignment="1">
      <alignment horizontal="left" vertical="center"/>
    </xf>
    <xf numFmtId="0" fontId="4" fillId="2" borderId="39" xfId="1" applyFont="1" applyFill="1" applyBorder="1" applyAlignment="1">
      <alignment horizontal="left" vertical="center"/>
    </xf>
    <xf numFmtId="4" fontId="5" fillId="2" borderId="38" xfId="0" applyNumberFormat="1" applyFont="1" applyFill="1" applyBorder="1" applyAlignment="1">
      <alignment horizontal="center" vertical="center"/>
    </xf>
    <xf numFmtId="4" fontId="5" fillId="2" borderId="38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5" fillId="2" borderId="38" xfId="0" applyNumberFormat="1" applyFont="1" applyFill="1" applyBorder="1" applyAlignment="1">
      <alignment vertical="center" wrapText="1"/>
    </xf>
    <xf numFmtId="0" fontId="5" fillId="2" borderId="37" xfId="0" applyFont="1" applyFill="1" applyBorder="1"/>
    <xf numFmtId="4" fontId="5" fillId="2" borderId="37" xfId="0" applyNumberFormat="1" applyFont="1" applyFill="1" applyBorder="1" applyAlignment="1">
      <alignment horizontal="right" vertical="center" inden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left" vertical="center"/>
    </xf>
    <xf numFmtId="1" fontId="5" fillId="2" borderId="37" xfId="0" applyNumberFormat="1" applyFont="1" applyFill="1" applyBorder="1" applyAlignment="1">
      <alignment horizontal="left" vertical="center" wrapText="1"/>
    </xf>
    <xf numFmtId="1" fontId="5" fillId="2" borderId="37" xfId="0" applyNumberFormat="1" applyFont="1" applyFill="1" applyBorder="1" applyAlignment="1">
      <alignment horizontal="center" vertical="center" wrapText="1"/>
    </xf>
    <xf numFmtId="0" fontId="5" fillId="2" borderId="37" xfId="0" applyNumberFormat="1" applyFont="1" applyFill="1" applyBorder="1" applyAlignment="1">
      <alignment horizontal="left" vertical="center"/>
    </xf>
    <xf numFmtId="4" fontId="4" fillId="2" borderId="32" xfId="0" applyNumberFormat="1" applyFont="1" applyFill="1" applyBorder="1" applyAlignment="1">
      <alignment horizontal="center" vertical="center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vertical="center" wrapText="1"/>
    </xf>
    <xf numFmtId="4" fontId="4" fillId="2" borderId="38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1" fillId="2" borderId="0" xfId="0" applyFont="1" applyFill="1"/>
    <xf numFmtId="1" fontId="4" fillId="2" borderId="37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3" fontId="5" fillId="2" borderId="37" xfId="29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 indent="1"/>
    </xf>
    <xf numFmtId="2" fontId="18" fillId="0" borderId="2" xfId="0" applyNumberFormat="1" applyFont="1" applyFill="1" applyBorder="1" applyAlignment="1">
      <alignment horizontal="right" vertical="center" indent="1"/>
    </xf>
    <xf numFmtId="2" fontId="19" fillId="0" borderId="2" xfId="0" applyNumberFormat="1" applyFont="1" applyFill="1" applyBorder="1" applyAlignment="1">
      <alignment horizontal="right" vertical="center" indent="1"/>
    </xf>
    <xf numFmtId="2" fontId="20" fillId="0" borderId="2" xfId="0" applyNumberFormat="1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4" fillId="0" borderId="0" xfId="0" applyFont="1" applyFill="1"/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4" fontId="4" fillId="2" borderId="39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0" fontId="14" fillId="0" borderId="0" xfId="0" applyFont="1" applyFill="1" applyAlignment="1"/>
    <xf numFmtId="4" fontId="5" fillId="0" borderId="30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vertical="center" wrapText="1"/>
    </xf>
    <xf numFmtId="2" fontId="5" fillId="0" borderId="9" xfId="1" applyNumberFormat="1" applyFont="1" applyFill="1" applyBorder="1" applyAlignment="1">
      <alignment vertical="center" wrapText="1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horizontal="left" vertical="center"/>
    </xf>
    <xf numFmtId="2" fontId="4" fillId="0" borderId="40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4" fontId="5" fillId="0" borderId="43" xfId="0" applyNumberFormat="1" applyFont="1" applyFill="1" applyBorder="1" applyAlignment="1">
      <alignment horizontal="center" vertical="center"/>
    </xf>
    <xf numFmtId="2" fontId="5" fillId="0" borderId="37" xfId="1" applyNumberFormat="1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0" fontId="14" fillId="0" borderId="43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1" fontId="4" fillId="0" borderId="0" xfId="1" applyNumberFormat="1" applyFont="1" applyFill="1" applyBorder="1" applyAlignment="1">
      <alignment horizontal="center" vertical="center"/>
    </xf>
    <xf numFmtId="1" fontId="4" fillId="0" borderId="9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 wrapText="1"/>
    </xf>
    <xf numFmtId="1" fontId="4" fillId="0" borderId="30" xfId="1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4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3" fontId="5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2" fontId="5" fillId="0" borderId="37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4" fontId="5" fillId="0" borderId="37" xfId="1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/>
    <xf numFmtId="2" fontId="4" fillId="2" borderId="40" xfId="0" applyNumberFormat="1" applyFont="1" applyFill="1" applyBorder="1" applyAlignment="1">
      <alignment horizontal="right" vertical="center" indent="1"/>
    </xf>
    <xf numFmtId="4" fontId="4" fillId="2" borderId="37" xfId="0" applyNumberFormat="1" applyFont="1" applyFill="1" applyBorder="1" applyAlignment="1">
      <alignment vertical="center" wrapText="1"/>
    </xf>
    <xf numFmtId="4" fontId="4" fillId="2" borderId="37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Fill="1"/>
    <xf numFmtId="4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165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0" fontId="15" fillId="0" borderId="0" xfId="0" applyFont="1" applyFill="1"/>
    <xf numFmtId="0" fontId="4" fillId="0" borderId="37" xfId="0" applyNumberFormat="1" applyFont="1" applyFill="1" applyBorder="1" applyAlignment="1">
      <alignment horizontal="left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14" fontId="5" fillId="0" borderId="4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4" fontId="12" fillId="0" borderId="4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1" fontId="1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/>
    </xf>
    <xf numFmtId="0" fontId="4" fillId="0" borderId="2" xfId="0" applyFont="1" applyFill="1" applyBorder="1"/>
    <xf numFmtId="3" fontId="1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22" fillId="2" borderId="0" xfId="0" applyFont="1" applyFill="1"/>
    <xf numFmtId="4" fontId="4" fillId="0" borderId="4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4" fillId="0" borderId="38" xfId="0" applyNumberFormat="1" applyFont="1" applyFill="1" applyBorder="1" applyAlignment="1">
      <alignment vertical="center"/>
    </xf>
    <xf numFmtId="2" fontId="4" fillId="0" borderId="38" xfId="0" applyNumberFormat="1" applyFont="1" applyFill="1" applyBorder="1" applyAlignment="1">
      <alignment vertical="center"/>
    </xf>
    <xf numFmtId="1" fontId="14" fillId="0" borderId="43" xfId="0" applyNumberFormat="1" applyFont="1" applyFill="1" applyBorder="1" applyAlignment="1"/>
    <xf numFmtId="2" fontId="4" fillId="0" borderId="43" xfId="1" applyNumberFormat="1" applyFont="1" applyFill="1" applyBorder="1" applyAlignment="1">
      <alignment vertical="center" wrapText="1"/>
    </xf>
    <xf numFmtId="1" fontId="5" fillId="0" borderId="43" xfId="0" applyNumberFormat="1" applyFont="1" applyFill="1" applyBorder="1" applyAlignment="1"/>
    <xf numFmtId="2" fontId="4" fillId="0" borderId="43" xfId="0" applyNumberFormat="1" applyFont="1" applyFill="1" applyBorder="1" applyAlignment="1"/>
    <xf numFmtId="2" fontId="4" fillId="0" borderId="4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90"/>
    </xf>
    <xf numFmtId="4" fontId="5" fillId="0" borderId="2" xfId="0" applyNumberFormat="1" applyFont="1" applyFill="1" applyBorder="1" applyAlignment="1">
      <alignment horizontal="center" vertical="center" textRotation="90" wrapText="1"/>
    </xf>
    <xf numFmtId="3" fontId="5" fillId="0" borderId="2" xfId="0" applyNumberFormat="1" applyFont="1" applyFill="1" applyBorder="1" applyAlignment="1">
      <alignment horizontal="center" vertical="center" textRotation="90" wrapText="1"/>
    </xf>
    <xf numFmtId="4" fontId="5" fillId="0" borderId="38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/>
    </xf>
    <xf numFmtId="2" fontId="5" fillId="2" borderId="29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4" fontId="4" fillId="2" borderId="4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left" vertical="center"/>
    </xf>
    <xf numFmtId="2" fontId="4" fillId="2" borderId="35" xfId="0" applyNumberFormat="1" applyFont="1" applyFill="1" applyBorder="1" applyAlignment="1">
      <alignment horizontal="left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2" fontId="4" fillId="0" borderId="33" xfId="1" applyNumberFormat="1" applyFont="1" applyFill="1" applyBorder="1" applyAlignment="1">
      <alignment horizontal="left" vertical="center" wrapText="1"/>
    </xf>
    <xf numFmtId="2" fontId="4" fillId="0" borderId="35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5" xfId="1" applyNumberFormat="1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>
      <alignment horizontal="left" vertical="center"/>
    </xf>
    <xf numFmtId="2" fontId="4" fillId="0" borderId="35" xfId="0" applyNumberFormat="1" applyFont="1" applyFill="1" applyBorder="1" applyAlignment="1">
      <alignment horizontal="left" vertical="center"/>
    </xf>
    <xf numFmtId="2" fontId="5" fillId="0" borderId="33" xfId="0" applyNumberFormat="1" applyFont="1" applyFill="1" applyBorder="1" applyAlignment="1">
      <alignment horizontal="left" vertical="center"/>
    </xf>
    <xf numFmtId="2" fontId="5" fillId="0" borderId="35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left" vertical="center" wrapText="1"/>
    </xf>
    <xf numFmtId="4" fontId="4" fillId="0" borderId="40" xfId="0" applyNumberFormat="1" applyFont="1" applyFill="1" applyBorder="1" applyAlignment="1">
      <alignment horizontal="left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4" fontId="4" fillId="0" borderId="3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" fontId="4" fillId="0" borderId="28" xfId="1" applyNumberFormat="1" applyFont="1" applyFill="1" applyBorder="1" applyAlignment="1">
      <alignment horizontal="center" vertical="center"/>
    </xf>
    <xf numFmtId="1" fontId="4" fillId="0" borderId="29" xfId="1" applyNumberFormat="1" applyFont="1" applyFill="1" applyBorder="1" applyAlignment="1">
      <alignment horizontal="center" vertical="center"/>
    </xf>
    <xf numFmtId="1" fontId="4" fillId="0" borderId="30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2" fontId="4" fillId="0" borderId="41" xfId="1" applyNumberFormat="1" applyFont="1" applyFill="1" applyBorder="1" applyAlignment="1">
      <alignment horizontal="left" vertical="center" wrapText="1"/>
    </xf>
    <xf numFmtId="2" fontId="4" fillId="0" borderId="40" xfId="1" applyNumberFormat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horizontal="left" vertical="center"/>
    </xf>
    <xf numFmtId="2" fontId="5" fillId="2" borderId="35" xfId="0" applyNumberFormat="1" applyFont="1" applyFill="1" applyBorder="1" applyAlignment="1">
      <alignment horizontal="left" vertical="center"/>
    </xf>
    <xf numFmtId="2" fontId="4" fillId="2" borderId="9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5" fillId="2" borderId="33" xfId="1" applyFont="1" applyFill="1" applyBorder="1" applyAlignment="1">
      <alignment horizontal="left" vertical="center" wrapText="1"/>
    </xf>
    <xf numFmtId="0" fontId="5" fillId="2" borderId="35" xfId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1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abSelected="1" view="pageBreakPreview" zoomScale="60" zoomScaleNormal="80" workbookViewId="0">
      <pane xSplit="2" ySplit="17" topLeftCell="C102" activePane="bottomRight" state="frozen"/>
      <selection pane="topRight" activeCell="C1" sqref="C1"/>
      <selection pane="bottomLeft" activeCell="A13" sqref="A13"/>
      <selection pane="bottomRight" activeCell="J7" sqref="J7"/>
    </sheetView>
  </sheetViews>
  <sheetFormatPr defaultColWidth="9.109375" defaultRowHeight="15.6" x14ac:dyDescent="0.3"/>
  <cols>
    <col min="1" max="1" width="9.88671875" style="358" customWidth="1"/>
    <col min="2" max="2" width="65.109375" style="359" customWidth="1"/>
    <col min="3" max="4" width="9.109375" style="360" customWidth="1"/>
    <col min="5" max="5" width="25.5546875" style="360" customWidth="1"/>
    <col min="6" max="6" width="9.109375" style="360" customWidth="1"/>
    <col min="7" max="7" width="12.44140625" style="361" customWidth="1"/>
    <col min="8" max="8" width="15.33203125" style="288" customWidth="1"/>
    <col min="9" max="9" width="18" style="362" customWidth="1"/>
    <col min="10" max="10" width="20.109375" style="288" customWidth="1"/>
    <col min="11" max="11" width="13.109375" style="360" customWidth="1"/>
    <col min="12" max="12" width="9.109375" style="360" customWidth="1"/>
    <col min="13" max="13" width="15.5546875" style="242" hidden="1" customWidth="1"/>
    <col min="14" max="38" width="9.109375" style="242" customWidth="1"/>
    <col min="39" max="16384" width="9.109375" style="242"/>
  </cols>
  <sheetData>
    <row r="1" spans="1:12" x14ac:dyDescent="0.3">
      <c r="A1" s="289"/>
      <c r="B1" s="290"/>
      <c r="C1" s="205"/>
      <c r="D1" s="255"/>
      <c r="E1" s="255"/>
      <c r="F1" s="291"/>
      <c r="G1" s="291"/>
      <c r="H1" s="287"/>
      <c r="I1" s="292"/>
      <c r="J1" s="288" t="s">
        <v>251</v>
      </c>
      <c r="K1" s="255"/>
      <c r="L1" s="255"/>
    </row>
    <row r="2" spans="1:12" x14ac:dyDescent="0.3">
      <c r="A2" s="289"/>
      <c r="B2" s="290"/>
      <c r="C2" s="205"/>
      <c r="D2" s="255"/>
      <c r="E2" s="255"/>
      <c r="F2" s="291"/>
      <c r="G2" s="291"/>
      <c r="H2" s="287"/>
      <c r="I2" s="292"/>
      <c r="J2" s="288" t="s">
        <v>252</v>
      </c>
      <c r="K2" s="255"/>
      <c r="L2" s="255"/>
    </row>
    <row r="3" spans="1:12" x14ac:dyDescent="0.3">
      <c r="A3" s="289"/>
      <c r="B3" s="290"/>
      <c r="C3" s="205"/>
      <c r="D3" s="255"/>
      <c r="E3" s="255"/>
      <c r="F3" s="291"/>
      <c r="G3" s="291"/>
      <c r="H3" s="363"/>
      <c r="I3" s="292"/>
      <c r="J3" s="288" t="s">
        <v>253</v>
      </c>
      <c r="K3" s="255"/>
      <c r="L3" s="255"/>
    </row>
    <row r="4" spans="1:12" x14ac:dyDescent="0.3">
      <c r="A4" s="289"/>
      <c r="B4" s="290"/>
      <c r="C4" s="205"/>
      <c r="D4" s="255"/>
      <c r="E4" s="255"/>
      <c r="F4" s="291"/>
      <c r="G4" s="291"/>
      <c r="H4" s="363"/>
      <c r="I4" s="292"/>
      <c r="J4" s="288" t="s">
        <v>258</v>
      </c>
      <c r="K4" s="255"/>
      <c r="L4" s="255"/>
    </row>
    <row r="5" spans="1:12" x14ac:dyDescent="0.3">
      <c r="A5" s="289"/>
      <c r="B5" s="290"/>
      <c r="C5" s="205"/>
      <c r="D5" s="255"/>
      <c r="E5" s="255"/>
      <c r="F5" s="291"/>
      <c r="G5" s="291"/>
      <c r="H5" s="363"/>
      <c r="I5" s="292"/>
      <c r="J5" s="363" t="s">
        <v>259</v>
      </c>
      <c r="K5" s="255"/>
      <c r="L5" s="255"/>
    </row>
    <row r="6" spans="1:12" x14ac:dyDescent="0.3">
      <c r="A6" s="289"/>
      <c r="B6" s="290"/>
      <c r="C6" s="205"/>
      <c r="D6" s="255"/>
      <c r="E6" s="255"/>
      <c r="F6" s="291"/>
      <c r="G6" s="291"/>
      <c r="H6" s="287"/>
      <c r="I6" s="292"/>
      <c r="J6" s="363" t="s">
        <v>260</v>
      </c>
      <c r="K6" s="255"/>
      <c r="L6" s="255"/>
    </row>
    <row r="7" spans="1:12" x14ac:dyDescent="0.3">
      <c r="A7" s="289"/>
      <c r="B7" s="290"/>
      <c r="C7" s="205"/>
      <c r="D7" s="255"/>
      <c r="E7" s="255"/>
      <c r="F7" s="291"/>
      <c r="G7" s="291"/>
      <c r="H7" s="287"/>
      <c r="I7" s="292"/>
      <c r="J7" s="366" t="s">
        <v>261</v>
      </c>
      <c r="K7" s="255"/>
      <c r="L7" s="255"/>
    </row>
    <row r="8" spans="1:12" x14ac:dyDescent="0.3">
      <c r="A8" s="289"/>
      <c r="B8" s="290"/>
      <c r="C8" s="205"/>
      <c r="D8" s="255"/>
      <c r="E8" s="255"/>
      <c r="F8" s="291"/>
      <c r="G8" s="291"/>
      <c r="H8" s="287"/>
      <c r="I8" s="292"/>
      <c r="J8" s="242" t="s">
        <v>254</v>
      </c>
      <c r="K8" s="255"/>
      <c r="L8" s="255"/>
    </row>
    <row r="9" spans="1:12" ht="24" customHeight="1" x14ac:dyDescent="0.3">
      <c r="A9" s="383" t="s">
        <v>256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</row>
    <row r="10" spans="1:12" x14ac:dyDescent="0.3">
      <c r="A10" s="385" t="s">
        <v>255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</row>
    <row r="11" spans="1:12" ht="24" customHeight="1" x14ac:dyDescent="0.3">
      <c r="A11" s="394" t="s">
        <v>1</v>
      </c>
      <c r="B11" s="394" t="s">
        <v>2</v>
      </c>
      <c r="C11" s="395" t="s">
        <v>88</v>
      </c>
      <c r="D11" s="395"/>
      <c r="E11" s="396" t="s">
        <v>89</v>
      </c>
      <c r="F11" s="388" t="s">
        <v>90</v>
      </c>
      <c r="G11" s="388" t="s">
        <v>91</v>
      </c>
      <c r="H11" s="389" t="s">
        <v>92</v>
      </c>
      <c r="I11" s="390" t="s">
        <v>93</v>
      </c>
      <c r="J11" s="391" t="s">
        <v>241</v>
      </c>
      <c r="K11" s="397" t="s">
        <v>94</v>
      </c>
      <c r="L11" s="397" t="s">
        <v>95</v>
      </c>
    </row>
    <row r="12" spans="1:12" ht="15" customHeight="1" x14ac:dyDescent="0.3">
      <c r="A12" s="394"/>
      <c r="B12" s="394"/>
      <c r="C12" s="398" t="s">
        <v>96</v>
      </c>
      <c r="D12" s="397" t="s">
        <v>97</v>
      </c>
      <c r="E12" s="396"/>
      <c r="F12" s="388"/>
      <c r="G12" s="388"/>
      <c r="H12" s="389"/>
      <c r="I12" s="390"/>
      <c r="J12" s="392"/>
      <c r="K12" s="397"/>
      <c r="L12" s="397"/>
    </row>
    <row r="13" spans="1:12" ht="91.5" customHeight="1" x14ac:dyDescent="0.3">
      <c r="A13" s="394"/>
      <c r="B13" s="394"/>
      <c r="C13" s="398"/>
      <c r="D13" s="397"/>
      <c r="E13" s="396"/>
      <c r="F13" s="388"/>
      <c r="G13" s="388"/>
      <c r="H13" s="389"/>
      <c r="I13" s="390"/>
      <c r="J13" s="393"/>
      <c r="K13" s="397"/>
      <c r="L13" s="397"/>
    </row>
    <row r="14" spans="1:12" ht="18" customHeight="1" x14ac:dyDescent="0.3">
      <c r="A14" s="293"/>
      <c r="B14" s="293"/>
      <c r="C14" s="398"/>
      <c r="D14" s="397"/>
      <c r="E14" s="396"/>
      <c r="F14" s="388"/>
      <c r="G14" s="388"/>
      <c r="H14" s="278" t="s">
        <v>98</v>
      </c>
      <c r="I14" s="294" t="s">
        <v>99</v>
      </c>
      <c r="J14" s="278" t="s">
        <v>30</v>
      </c>
      <c r="K14" s="397"/>
      <c r="L14" s="397"/>
    </row>
    <row r="15" spans="1:12" ht="15.75" x14ac:dyDescent="0.25">
      <c r="A15" s="295">
        <v>1</v>
      </c>
      <c r="B15" s="243">
        <v>2</v>
      </c>
      <c r="C15" s="160">
        <v>3</v>
      </c>
      <c r="D15" s="247">
        <v>4</v>
      </c>
      <c r="E15" s="247">
        <v>5</v>
      </c>
      <c r="F15" s="295">
        <v>6</v>
      </c>
      <c r="G15" s="295">
        <v>7</v>
      </c>
      <c r="H15" s="243">
        <v>8</v>
      </c>
      <c r="I15" s="243">
        <v>9</v>
      </c>
      <c r="J15" s="243">
        <v>11</v>
      </c>
      <c r="K15" s="243">
        <v>12</v>
      </c>
      <c r="L15" s="243">
        <v>13</v>
      </c>
    </row>
    <row r="16" spans="1:12" ht="17.25" customHeight="1" x14ac:dyDescent="0.3">
      <c r="A16" s="381" t="s">
        <v>104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</row>
    <row r="17" spans="1:13" ht="17.25" customHeight="1" x14ac:dyDescent="0.3">
      <c r="A17" s="223" t="s">
        <v>36</v>
      </c>
      <c r="B17" s="175"/>
      <c r="C17" s="238"/>
      <c r="D17" s="238"/>
      <c r="E17" s="238"/>
      <c r="F17" s="238"/>
      <c r="G17" s="296"/>
      <c r="H17" s="241"/>
      <c r="I17" s="297"/>
      <c r="J17" s="241"/>
      <c r="K17" s="238"/>
      <c r="L17" s="238"/>
    </row>
    <row r="18" spans="1:13" ht="17.25" customHeight="1" x14ac:dyDescent="0.3">
      <c r="A18" s="247">
        <v>1</v>
      </c>
      <c r="B18" s="175" t="s">
        <v>37</v>
      </c>
      <c r="C18" s="298">
        <v>1952</v>
      </c>
      <c r="D18" s="238"/>
      <c r="E18" s="238" t="s">
        <v>106</v>
      </c>
      <c r="F18" s="238">
        <v>5</v>
      </c>
      <c r="G18" s="296"/>
      <c r="H18" s="241">
        <v>4492</v>
      </c>
      <c r="I18" s="297">
        <v>272</v>
      </c>
      <c r="J18" s="168">
        <f>SUMIF('2020'!B:B,B18,'2020'!C:C)+SUMIF('2021'!B:B,B18,'2021'!C:C)+SUMIF('2022'!B:B,B18,'2022'!C:C)</f>
        <v>130000</v>
      </c>
      <c r="K18" s="299">
        <v>44925</v>
      </c>
      <c r="L18" s="298" t="s">
        <v>107</v>
      </c>
    </row>
    <row r="19" spans="1:13" ht="17.25" customHeight="1" x14ac:dyDescent="0.3">
      <c r="A19" s="224" t="s">
        <v>35</v>
      </c>
      <c r="B19" s="300"/>
      <c r="C19" s="238" t="s">
        <v>144</v>
      </c>
      <c r="D19" s="238" t="s">
        <v>144</v>
      </c>
      <c r="E19" s="238" t="s">
        <v>144</v>
      </c>
      <c r="F19" s="238" t="s">
        <v>144</v>
      </c>
      <c r="G19" s="238" t="s">
        <v>144</v>
      </c>
      <c r="H19" s="241">
        <f>SUM(H18:H18)</f>
        <v>4492</v>
      </c>
      <c r="I19" s="297">
        <f>SUM(I18:I18)</f>
        <v>272</v>
      </c>
      <c r="J19" s="241">
        <f>SUM(J18:J18)</f>
        <v>130000</v>
      </c>
      <c r="K19" s="238" t="s">
        <v>144</v>
      </c>
      <c r="L19" s="238" t="s">
        <v>144</v>
      </c>
    </row>
    <row r="20" spans="1:13" ht="17.25" customHeight="1" x14ac:dyDescent="0.3">
      <c r="A20" s="224" t="s">
        <v>200</v>
      </c>
      <c r="B20" s="300"/>
      <c r="C20" s="238"/>
      <c r="D20" s="238"/>
      <c r="E20" s="238"/>
      <c r="F20" s="238"/>
      <c r="G20" s="238"/>
      <c r="H20" s="241"/>
      <c r="I20" s="297"/>
      <c r="J20" s="241"/>
      <c r="K20" s="238"/>
      <c r="L20" s="238"/>
    </row>
    <row r="21" spans="1:13" ht="17.25" customHeight="1" x14ac:dyDescent="0.3">
      <c r="A21" s="247">
        <f>A18+1</f>
        <v>2</v>
      </c>
      <c r="B21" s="175" t="s">
        <v>199</v>
      </c>
      <c r="C21" s="298">
        <v>1976</v>
      </c>
      <c r="D21" s="238"/>
      <c r="E21" s="298" t="s">
        <v>102</v>
      </c>
      <c r="F21" s="301">
        <v>5</v>
      </c>
      <c r="G21" s="302"/>
      <c r="H21" s="303">
        <v>4292.76</v>
      </c>
      <c r="I21" s="304" t="s">
        <v>201</v>
      </c>
      <c r="J21" s="168">
        <f>SUMIF('2020'!B:B,B21,'2020'!C:C)+SUMIF('2021'!B:B,B21,'2021'!C:C)+SUMIF('2022'!B:B,B21,'2022'!C:C)</f>
        <v>217045.27</v>
      </c>
      <c r="K21" s="299">
        <v>44925</v>
      </c>
      <c r="L21" s="298" t="s">
        <v>152</v>
      </c>
    </row>
    <row r="22" spans="1:13" ht="17.25" customHeight="1" x14ac:dyDescent="0.3">
      <c r="A22" s="224" t="s">
        <v>35</v>
      </c>
      <c r="B22" s="300"/>
      <c r="C22" s="238" t="s">
        <v>144</v>
      </c>
      <c r="D22" s="238" t="s">
        <v>144</v>
      </c>
      <c r="E22" s="238" t="s">
        <v>144</v>
      </c>
      <c r="F22" s="238" t="s">
        <v>144</v>
      </c>
      <c r="G22" s="238" t="s">
        <v>144</v>
      </c>
      <c r="H22" s="241">
        <f t="shared" ref="H22:I22" si="0">H21</f>
        <v>4292.76</v>
      </c>
      <c r="I22" s="241" t="str">
        <f t="shared" si="0"/>
        <v>220</v>
      </c>
      <c r="J22" s="241">
        <f>J21</f>
        <v>217045.27</v>
      </c>
      <c r="K22" s="238" t="s">
        <v>144</v>
      </c>
      <c r="L22" s="238" t="s">
        <v>144</v>
      </c>
    </row>
    <row r="23" spans="1:13" ht="17.25" customHeight="1" x14ac:dyDescent="0.3">
      <c r="A23" s="224" t="s">
        <v>204</v>
      </c>
      <c r="B23" s="300"/>
      <c r="C23" s="238"/>
      <c r="D23" s="238"/>
      <c r="E23" s="238"/>
      <c r="F23" s="238"/>
      <c r="G23" s="238"/>
      <c r="H23" s="241"/>
      <c r="I23" s="297"/>
      <c r="J23" s="241"/>
      <c r="K23" s="238"/>
      <c r="L23" s="238"/>
    </row>
    <row r="24" spans="1:13" ht="17.25" customHeight="1" x14ac:dyDescent="0.3">
      <c r="A24" s="247">
        <f>A21+1</f>
        <v>3</v>
      </c>
      <c r="B24" s="175" t="s">
        <v>202</v>
      </c>
      <c r="C24" s="298">
        <v>1917</v>
      </c>
      <c r="D24" s="238"/>
      <c r="E24" s="305" t="s">
        <v>203</v>
      </c>
      <c r="F24" s="305">
        <v>2</v>
      </c>
      <c r="G24" s="302"/>
      <c r="H24" s="305">
        <v>348.6</v>
      </c>
      <c r="I24" s="306">
        <v>9</v>
      </c>
      <c r="J24" s="168">
        <f>SUMIF('2020'!B:B,B24,'2020'!C:C)+SUMIF('2021'!B:B,B24,'2021'!C:C)+SUMIF('2022'!B:B,B24,'2022'!C:C)</f>
        <v>968776.28</v>
      </c>
      <c r="K24" s="299">
        <v>44925</v>
      </c>
      <c r="L24" s="298" t="s">
        <v>152</v>
      </c>
    </row>
    <row r="25" spans="1:13" ht="17.25" customHeight="1" x14ac:dyDescent="0.3">
      <c r="A25" s="224" t="s">
        <v>35</v>
      </c>
      <c r="B25" s="300"/>
      <c r="C25" s="238" t="s">
        <v>144</v>
      </c>
      <c r="D25" s="238" t="s">
        <v>144</v>
      </c>
      <c r="E25" s="238" t="s">
        <v>144</v>
      </c>
      <c r="F25" s="238" t="s">
        <v>144</v>
      </c>
      <c r="G25" s="238" t="s">
        <v>144</v>
      </c>
      <c r="H25" s="241">
        <f t="shared" ref="H25:I25" si="1">H24</f>
        <v>348.6</v>
      </c>
      <c r="I25" s="241">
        <f t="shared" si="1"/>
        <v>9</v>
      </c>
      <c r="J25" s="241">
        <f>J24</f>
        <v>968776.28</v>
      </c>
      <c r="K25" s="238" t="s">
        <v>144</v>
      </c>
      <c r="L25" s="238" t="s">
        <v>144</v>
      </c>
    </row>
    <row r="26" spans="1:13" s="311" customFormat="1" ht="17.25" customHeight="1" x14ac:dyDescent="0.3">
      <c r="A26" s="225" t="s">
        <v>105</v>
      </c>
      <c r="B26" s="307"/>
      <c r="C26" s="308" t="s">
        <v>144</v>
      </c>
      <c r="D26" s="308" t="s">
        <v>144</v>
      </c>
      <c r="E26" s="308" t="s">
        <v>144</v>
      </c>
      <c r="F26" s="308" t="s">
        <v>144</v>
      </c>
      <c r="G26" s="308" t="s">
        <v>144</v>
      </c>
      <c r="H26" s="309">
        <f t="shared" ref="H26:I26" si="2">H19+H22+H25</f>
        <v>9133.36</v>
      </c>
      <c r="I26" s="309">
        <f t="shared" si="2"/>
        <v>501</v>
      </c>
      <c r="J26" s="309">
        <f>J19+J22+J25</f>
        <v>1315821.55</v>
      </c>
      <c r="K26" s="308" t="s">
        <v>144</v>
      </c>
      <c r="L26" s="308" t="s">
        <v>144</v>
      </c>
      <c r="M26" s="310">
        <f>J26-'2021'!C17-'2022'!C14</f>
        <v>0</v>
      </c>
    </row>
    <row r="27" spans="1:13" ht="17.25" customHeight="1" x14ac:dyDescent="0.3">
      <c r="A27" s="378" t="s">
        <v>208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80"/>
    </row>
    <row r="28" spans="1:13" ht="17.25" customHeight="1" x14ac:dyDescent="0.3">
      <c r="A28" s="312" t="s">
        <v>243</v>
      </c>
      <c r="B28" s="313"/>
      <c r="C28" s="314"/>
      <c r="D28" s="314"/>
      <c r="E28" s="314"/>
      <c r="F28" s="313"/>
      <c r="G28" s="313"/>
      <c r="H28" s="313"/>
      <c r="I28" s="313"/>
      <c r="J28" s="313"/>
      <c r="K28" s="313"/>
      <c r="L28" s="226"/>
    </row>
    <row r="29" spans="1:13" ht="17.25" customHeight="1" x14ac:dyDescent="0.3">
      <c r="A29" s="266">
        <f>A24+1</f>
        <v>4</v>
      </c>
      <c r="B29" s="315" t="s">
        <v>244</v>
      </c>
      <c r="C29" s="314">
        <v>1993</v>
      </c>
      <c r="D29" s="314"/>
      <c r="E29" s="314" t="s">
        <v>245</v>
      </c>
      <c r="F29" s="236">
        <v>10</v>
      </c>
      <c r="G29" s="236">
        <v>2</v>
      </c>
      <c r="H29" s="266">
        <v>5861</v>
      </c>
      <c r="I29" s="266">
        <v>154</v>
      </c>
      <c r="J29" s="168">
        <f>SUMIF('2020'!B:B,B29,'2020'!C:C)+SUMIF('2021'!B:B,B29,'2021'!C:C)+SUMIF('2022'!B:B,B29,'2022'!C:C)</f>
        <v>7753272.9199999999</v>
      </c>
      <c r="K29" s="316">
        <v>44925</v>
      </c>
      <c r="L29" s="236" t="s">
        <v>152</v>
      </c>
    </row>
    <row r="30" spans="1:13" ht="17.25" customHeight="1" x14ac:dyDescent="0.3">
      <c r="A30" s="224" t="s">
        <v>35</v>
      </c>
      <c r="B30" s="300"/>
      <c r="C30" s="238" t="s">
        <v>144</v>
      </c>
      <c r="D30" s="238" t="s">
        <v>144</v>
      </c>
      <c r="E30" s="238" t="s">
        <v>144</v>
      </c>
      <c r="F30" s="238" t="s">
        <v>144</v>
      </c>
      <c r="G30" s="238" t="s">
        <v>144</v>
      </c>
      <c r="H30" s="241">
        <f t="shared" ref="H30:I30" si="3">H29</f>
        <v>5861</v>
      </c>
      <c r="I30" s="241">
        <f t="shared" si="3"/>
        <v>154</v>
      </c>
      <c r="J30" s="241">
        <f>J29</f>
        <v>7753272.9199999999</v>
      </c>
      <c r="K30" s="238" t="s">
        <v>144</v>
      </c>
      <c r="L30" s="238" t="s">
        <v>144</v>
      </c>
    </row>
    <row r="31" spans="1:13" ht="17.25" customHeight="1" x14ac:dyDescent="0.3">
      <c r="A31" s="317" t="s">
        <v>207</v>
      </c>
      <c r="B31" s="175"/>
      <c r="C31" s="238"/>
      <c r="D31" s="238"/>
      <c r="E31" s="238"/>
      <c r="F31" s="238"/>
      <c r="G31" s="238"/>
      <c r="H31" s="318"/>
      <c r="I31" s="241"/>
      <c r="J31" s="238"/>
      <c r="K31" s="302"/>
      <c r="L31" s="302"/>
    </row>
    <row r="32" spans="1:13" ht="17.25" customHeight="1" x14ac:dyDescent="0.3">
      <c r="A32" s="243">
        <f>A29+1</f>
        <v>5</v>
      </c>
      <c r="B32" s="175" t="s">
        <v>206</v>
      </c>
      <c r="C32" s="298">
        <v>1968</v>
      </c>
      <c r="D32" s="238"/>
      <c r="E32" s="319" t="s">
        <v>102</v>
      </c>
      <c r="F32" s="319">
        <v>4</v>
      </c>
      <c r="G32" s="302"/>
      <c r="H32" s="319">
        <v>2645.7</v>
      </c>
      <c r="I32" s="320">
        <v>60</v>
      </c>
      <c r="J32" s="168">
        <f>SUMIF('2020'!B:B,B32,'2020'!C:C)+SUMIF('2021'!B:B,B32,'2021'!C:C)+SUMIF('2022'!B:B,B32,'2022'!C:C)</f>
        <v>949602.59</v>
      </c>
      <c r="K32" s="299">
        <v>44925</v>
      </c>
      <c r="L32" s="298" t="s">
        <v>152</v>
      </c>
    </row>
    <row r="33" spans="1:13" ht="17.25" customHeight="1" x14ac:dyDescent="0.3">
      <c r="A33" s="224" t="s">
        <v>35</v>
      </c>
      <c r="B33" s="300"/>
      <c r="C33" s="238" t="s">
        <v>144</v>
      </c>
      <c r="D33" s="238" t="s">
        <v>144</v>
      </c>
      <c r="E33" s="238" t="s">
        <v>144</v>
      </c>
      <c r="F33" s="238" t="s">
        <v>144</v>
      </c>
      <c r="G33" s="238" t="s">
        <v>144</v>
      </c>
      <c r="H33" s="241">
        <f t="shared" ref="H33:I33" si="4">H32</f>
        <v>2645.7</v>
      </c>
      <c r="I33" s="241">
        <f t="shared" si="4"/>
        <v>60</v>
      </c>
      <c r="J33" s="241">
        <f>J32</f>
        <v>949602.59</v>
      </c>
      <c r="K33" s="238" t="s">
        <v>144</v>
      </c>
      <c r="L33" s="238" t="s">
        <v>144</v>
      </c>
    </row>
    <row r="34" spans="1:13" s="311" customFormat="1" ht="17.25" customHeight="1" x14ac:dyDescent="0.3">
      <c r="A34" s="225" t="s">
        <v>209</v>
      </c>
      <c r="B34" s="307"/>
      <c r="C34" s="308" t="s">
        <v>144</v>
      </c>
      <c r="D34" s="308" t="s">
        <v>144</v>
      </c>
      <c r="E34" s="308" t="s">
        <v>144</v>
      </c>
      <c r="F34" s="308" t="s">
        <v>144</v>
      </c>
      <c r="G34" s="308" t="s">
        <v>144</v>
      </c>
      <c r="H34" s="309">
        <f>H33+H30</f>
        <v>8506.7000000000007</v>
      </c>
      <c r="I34" s="309">
        <f t="shared" ref="I34:J34" si="5">I33+I30</f>
        <v>214</v>
      </c>
      <c r="J34" s="309">
        <f t="shared" si="5"/>
        <v>8702875.5099999998</v>
      </c>
      <c r="K34" s="308" t="s">
        <v>144</v>
      </c>
      <c r="L34" s="308" t="s">
        <v>144</v>
      </c>
      <c r="M34" s="310">
        <f>J34-'2021'!C22</f>
        <v>7753272.9199999999</v>
      </c>
    </row>
    <row r="35" spans="1:13" s="311" customFormat="1" ht="17.25" customHeight="1" x14ac:dyDescent="0.3">
      <c r="A35" s="381" t="s">
        <v>38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</row>
    <row r="36" spans="1:13" ht="17.25" customHeight="1" x14ac:dyDescent="0.3">
      <c r="A36" s="223" t="s">
        <v>39</v>
      </c>
      <c r="B36" s="321"/>
      <c r="C36" s="238"/>
      <c r="D36" s="238"/>
      <c r="E36" s="238"/>
      <c r="F36" s="238"/>
      <c r="G36" s="296"/>
      <c r="H36" s="241"/>
      <c r="I36" s="297"/>
      <c r="J36" s="241"/>
      <c r="K36" s="238"/>
      <c r="L36" s="238"/>
    </row>
    <row r="37" spans="1:13" ht="17.25" customHeight="1" x14ac:dyDescent="0.3">
      <c r="A37" s="247">
        <f>A32+1</f>
        <v>6</v>
      </c>
      <c r="B37" s="175" t="s">
        <v>40</v>
      </c>
      <c r="C37" s="298">
        <v>1938</v>
      </c>
      <c r="D37" s="238"/>
      <c r="E37" s="322" t="s">
        <v>100</v>
      </c>
      <c r="F37" s="238">
        <v>7</v>
      </c>
      <c r="G37" s="295"/>
      <c r="H37" s="323">
        <v>4341.8999999999996</v>
      </c>
      <c r="I37" s="297">
        <v>156</v>
      </c>
      <c r="J37" s="168">
        <f>SUMIF('2020'!B:B,B37,'2020'!C:C)+SUMIF('2021'!B:B,B37,'2021'!C:C)+SUMIF('2022'!B:B,B37,'2022'!C:C)</f>
        <v>130000</v>
      </c>
      <c r="K37" s="299">
        <v>44925</v>
      </c>
      <c r="L37" s="319" t="s">
        <v>107</v>
      </c>
    </row>
    <row r="38" spans="1:13" ht="17.25" customHeight="1" x14ac:dyDescent="0.3">
      <c r="A38" s="247">
        <f>A37+1</f>
        <v>7</v>
      </c>
      <c r="B38" s="265" t="s">
        <v>249</v>
      </c>
      <c r="C38" s="324">
        <v>1950</v>
      </c>
      <c r="D38" s="325"/>
      <c r="E38" s="326" t="s">
        <v>100</v>
      </c>
      <c r="F38" s="326">
        <v>5</v>
      </c>
      <c r="G38" s="314">
        <v>1</v>
      </c>
      <c r="H38" s="327">
        <v>2585.38</v>
      </c>
      <c r="I38" s="326">
        <v>72</v>
      </c>
      <c r="J38" s="168">
        <f>SUMIF('2020'!B:B,B38,'2020'!C:C)+SUMIF('2021'!B:B,B38,'2021'!C:C)+SUMIF('2022'!B:B,B38,'2022'!C:C)</f>
        <v>397653.68</v>
      </c>
      <c r="K38" s="328">
        <v>44925</v>
      </c>
      <c r="L38" s="329" t="s">
        <v>152</v>
      </c>
    </row>
    <row r="39" spans="1:13" ht="17.25" customHeight="1" x14ac:dyDescent="0.3">
      <c r="A39" s="247">
        <f t="shared" ref="A39:A45" si="6">A38+1</f>
        <v>8</v>
      </c>
      <c r="B39" s="330" t="s">
        <v>248</v>
      </c>
      <c r="C39" s="331">
        <v>1940</v>
      </c>
      <c r="D39" s="332"/>
      <c r="E39" s="333" t="s">
        <v>100</v>
      </c>
      <c r="F39" s="326">
        <v>4</v>
      </c>
      <c r="G39" s="314">
        <v>1</v>
      </c>
      <c r="H39" s="334">
        <v>1602.32</v>
      </c>
      <c r="I39" s="326">
        <v>31</v>
      </c>
      <c r="J39" s="168">
        <f>SUMIF('2020'!B:B,B39,'2020'!C:C)+SUMIF('2021'!B:B,B39,'2021'!C:C)+SUMIF('2022'!B:B,B39,'2022'!C:C)</f>
        <v>281021.93</v>
      </c>
      <c r="K39" s="328">
        <v>44925</v>
      </c>
      <c r="L39" s="329" t="s">
        <v>152</v>
      </c>
    </row>
    <row r="40" spans="1:13" ht="17.25" customHeight="1" x14ac:dyDescent="0.3">
      <c r="A40" s="247">
        <f t="shared" si="6"/>
        <v>9</v>
      </c>
      <c r="B40" s="175" t="s">
        <v>41</v>
      </c>
      <c r="C40" s="298">
        <v>1940</v>
      </c>
      <c r="D40" s="238"/>
      <c r="E40" s="335" t="s">
        <v>110</v>
      </c>
      <c r="F40" s="335">
        <v>10</v>
      </c>
      <c r="G40" s="295"/>
      <c r="H40" s="336">
        <v>6273</v>
      </c>
      <c r="I40" s="337">
        <v>231</v>
      </c>
      <c r="J40" s="168">
        <f>SUMIF('2020'!B:B,B40,'2020'!C:C)+SUMIF('2021'!B:B,B40,'2021'!C:C)+SUMIF('2022'!B:B,B40,'2022'!C:C)</f>
        <v>130000</v>
      </c>
      <c r="K40" s="299">
        <v>44925</v>
      </c>
      <c r="L40" s="319" t="s">
        <v>107</v>
      </c>
    </row>
    <row r="41" spans="1:13" ht="17.25" customHeight="1" x14ac:dyDescent="0.3">
      <c r="A41" s="247">
        <f t="shared" si="6"/>
        <v>10</v>
      </c>
      <c r="B41" s="175" t="s">
        <v>42</v>
      </c>
      <c r="C41" s="298">
        <v>1940</v>
      </c>
      <c r="D41" s="238"/>
      <c r="E41" s="335" t="s">
        <v>110</v>
      </c>
      <c r="F41" s="335" t="s">
        <v>108</v>
      </c>
      <c r="G41" s="295"/>
      <c r="H41" s="336">
        <v>10080</v>
      </c>
      <c r="I41" s="337">
        <v>120</v>
      </c>
      <c r="J41" s="168">
        <f>SUMIF('2020'!B:B,B41,'2020'!C:C)+SUMIF('2021'!B:B,B41,'2021'!C:C)+SUMIF('2022'!B:B,B41,'2022'!C:C)</f>
        <v>130000</v>
      </c>
      <c r="K41" s="299">
        <v>44925</v>
      </c>
      <c r="L41" s="319" t="s">
        <v>107</v>
      </c>
    </row>
    <row r="42" spans="1:13" ht="17.25" customHeight="1" x14ac:dyDescent="0.3">
      <c r="A42" s="247">
        <f t="shared" si="6"/>
        <v>11</v>
      </c>
      <c r="B42" s="175" t="s">
        <v>151</v>
      </c>
      <c r="C42" s="298">
        <v>1976</v>
      </c>
      <c r="D42" s="238"/>
      <c r="E42" s="322" t="s">
        <v>100</v>
      </c>
      <c r="F42" s="322">
        <v>7</v>
      </c>
      <c r="G42" s="302"/>
      <c r="H42" s="338">
        <v>2877.24</v>
      </c>
      <c r="I42" s="339">
        <v>97</v>
      </c>
      <c r="J42" s="168">
        <f>SUMIF('2020'!B:B,B42,'2020'!C:C)+SUMIF('2021'!B:B,B42,'2021'!C:C)+SUMIF('2022'!B:B,B42,'2022'!C:C)</f>
        <v>381632.86</v>
      </c>
      <c r="K42" s="299">
        <v>44925</v>
      </c>
      <c r="L42" s="319" t="s">
        <v>152</v>
      </c>
    </row>
    <row r="43" spans="1:13" ht="17.25" customHeight="1" x14ac:dyDescent="0.3">
      <c r="A43" s="247">
        <f t="shared" si="6"/>
        <v>12</v>
      </c>
      <c r="B43" s="330" t="s">
        <v>247</v>
      </c>
      <c r="C43" s="331">
        <v>1940</v>
      </c>
      <c r="D43" s="332"/>
      <c r="E43" s="326" t="s">
        <v>100</v>
      </c>
      <c r="F43" s="326">
        <v>4</v>
      </c>
      <c r="G43" s="314">
        <v>1</v>
      </c>
      <c r="H43" s="327">
        <v>2091.6799999999998</v>
      </c>
      <c r="I43" s="326">
        <v>45</v>
      </c>
      <c r="J43" s="168">
        <f>SUMIF('2020'!B:B,B43,'2020'!C:C)+SUMIF('2021'!B:B,B43,'2021'!C:C)+SUMIF('2022'!B:B,B43,'2022'!C:C)</f>
        <v>342924.76</v>
      </c>
      <c r="K43" s="299">
        <v>44925</v>
      </c>
      <c r="L43" s="319" t="s">
        <v>152</v>
      </c>
    </row>
    <row r="44" spans="1:13" ht="17.25" customHeight="1" x14ac:dyDescent="0.3">
      <c r="A44" s="247">
        <f t="shared" si="6"/>
        <v>13</v>
      </c>
      <c r="B44" s="175" t="s">
        <v>145</v>
      </c>
      <c r="C44" s="324">
        <v>1943</v>
      </c>
      <c r="D44" s="325"/>
      <c r="E44" s="326" t="s">
        <v>106</v>
      </c>
      <c r="F44" s="326">
        <v>11</v>
      </c>
      <c r="G44" s="314">
        <v>1</v>
      </c>
      <c r="H44" s="327">
        <v>4298.6899999999996</v>
      </c>
      <c r="I44" s="326">
        <v>103</v>
      </c>
      <c r="J44" s="168">
        <f>SUMIF('2020'!B:B,B44,'2020'!C:C)+SUMIF('2021'!B:B,B44,'2021'!C:C)+SUMIF('2022'!B:B,B44,'2022'!C:C)</f>
        <v>870516.7</v>
      </c>
      <c r="K44" s="299">
        <v>44925</v>
      </c>
      <c r="L44" s="319" t="s">
        <v>107</v>
      </c>
    </row>
    <row r="45" spans="1:13" ht="17.25" customHeight="1" x14ac:dyDescent="0.3">
      <c r="A45" s="247">
        <f t="shared" si="6"/>
        <v>14</v>
      </c>
      <c r="B45" s="265" t="s">
        <v>246</v>
      </c>
      <c r="C45" s="324">
        <v>1940</v>
      </c>
      <c r="D45" s="325"/>
      <c r="E45" s="326" t="s">
        <v>100</v>
      </c>
      <c r="F45" s="326">
        <v>5</v>
      </c>
      <c r="G45" s="314">
        <v>1</v>
      </c>
      <c r="H45" s="327">
        <v>2503.7399999999998</v>
      </c>
      <c r="I45" s="326">
        <v>62</v>
      </c>
      <c r="J45" s="168">
        <f>SUMIF('2020'!B:B,B45,'2020'!C:C)+SUMIF('2021'!B:B,B45,'2021'!C:C)+SUMIF('2022'!B:B,B45,'2022'!C:C)</f>
        <v>391281.5</v>
      </c>
      <c r="K45" s="328">
        <v>44925</v>
      </c>
      <c r="L45" s="329" t="s">
        <v>107</v>
      </c>
    </row>
    <row r="46" spans="1:13" ht="17.25" customHeight="1" x14ac:dyDescent="0.3">
      <c r="A46" s="224" t="s">
        <v>35</v>
      </c>
      <c r="B46" s="175"/>
      <c r="C46" s="298" t="s">
        <v>144</v>
      </c>
      <c r="D46" s="298" t="s">
        <v>144</v>
      </c>
      <c r="E46" s="298" t="s">
        <v>144</v>
      </c>
      <c r="F46" s="298" t="s">
        <v>144</v>
      </c>
      <c r="G46" s="298" t="s">
        <v>144</v>
      </c>
      <c r="H46" s="241">
        <f t="shared" ref="H46:I46" si="7">SUM(H37:H45)</f>
        <v>36653.949999999997</v>
      </c>
      <c r="I46" s="241">
        <f t="shared" si="7"/>
        <v>917</v>
      </c>
      <c r="J46" s="241">
        <f>SUM(J37:J45)</f>
        <v>3055031.4299999997</v>
      </c>
      <c r="K46" s="238" t="s">
        <v>144</v>
      </c>
      <c r="L46" s="238" t="s">
        <v>144</v>
      </c>
    </row>
    <row r="47" spans="1:13" ht="17.25" customHeight="1" x14ac:dyDescent="0.3">
      <c r="A47" s="223" t="s">
        <v>211</v>
      </c>
      <c r="B47" s="175"/>
      <c r="C47" s="238"/>
      <c r="D47" s="238"/>
      <c r="E47" s="238"/>
      <c r="F47" s="238"/>
      <c r="G47" s="238"/>
      <c r="H47" s="323"/>
      <c r="I47" s="241"/>
      <c r="J47" s="238"/>
      <c r="K47" s="302"/>
      <c r="L47" s="302"/>
    </row>
    <row r="48" spans="1:13" ht="17.25" customHeight="1" x14ac:dyDescent="0.3">
      <c r="A48" s="247">
        <f>A45+1</f>
        <v>15</v>
      </c>
      <c r="B48" s="175" t="s">
        <v>212</v>
      </c>
      <c r="C48" s="298">
        <v>1976</v>
      </c>
      <c r="D48" s="238"/>
      <c r="E48" s="305" t="s">
        <v>101</v>
      </c>
      <c r="F48" s="305">
        <v>5</v>
      </c>
      <c r="G48" s="302"/>
      <c r="H48" s="340" t="s">
        <v>213</v>
      </c>
      <c r="I48" s="306">
        <v>165</v>
      </c>
      <c r="J48" s="168">
        <f>SUMIF('2020'!B:B,B48,'2020'!C:C)+SUMIF('2021'!B:B,B48,'2021'!C:C)+SUMIF('2022'!B:B,B48,'2022'!C:C)</f>
        <v>1498287.23</v>
      </c>
      <c r="K48" s="299">
        <v>44925</v>
      </c>
      <c r="L48" s="303" t="s">
        <v>152</v>
      </c>
    </row>
    <row r="49" spans="1:13" ht="17.25" customHeight="1" x14ac:dyDescent="0.3">
      <c r="A49" s="224" t="s">
        <v>35</v>
      </c>
      <c r="B49" s="300"/>
      <c r="C49" s="238" t="s">
        <v>144</v>
      </c>
      <c r="D49" s="238" t="s">
        <v>144</v>
      </c>
      <c r="E49" s="238" t="s">
        <v>144</v>
      </c>
      <c r="F49" s="238" t="s">
        <v>144</v>
      </c>
      <c r="G49" s="238" t="s">
        <v>144</v>
      </c>
      <c r="H49" s="323">
        <v>4934.3999999999996</v>
      </c>
      <c r="I49" s="241">
        <f t="shared" ref="I49" si="8">I48</f>
        <v>165</v>
      </c>
      <c r="J49" s="241">
        <f>J48</f>
        <v>1498287.23</v>
      </c>
      <c r="K49" s="238" t="s">
        <v>144</v>
      </c>
      <c r="L49" s="238" t="s">
        <v>144</v>
      </c>
    </row>
    <row r="50" spans="1:13" s="311" customFormat="1" ht="17.25" customHeight="1" x14ac:dyDescent="0.3">
      <c r="A50" s="225" t="s">
        <v>43</v>
      </c>
      <c r="B50" s="341"/>
      <c r="C50" s="308" t="s">
        <v>144</v>
      </c>
      <c r="D50" s="308" t="s">
        <v>144</v>
      </c>
      <c r="E50" s="308" t="s">
        <v>144</v>
      </c>
      <c r="F50" s="308" t="s">
        <v>144</v>
      </c>
      <c r="G50" s="308" t="s">
        <v>144</v>
      </c>
      <c r="H50" s="342">
        <f>H49+H46</f>
        <v>41588.35</v>
      </c>
      <c r="I50" s="309">
        <f>I49+I46</f>
        <v>1082</v>
      </c>
      <c r="J50" s="309">
        <f>J49+J46</f>
        <v>4553318.66</v>
      </c>
      <c r="K50" s="308" t="s">
        <v>144</v>
      </c>
      <c r="L50" s="308" t="s">
        <v>144</v>
      </c>
      <c r="M50" s="310">
        <f>J50-'2021'!C38</f>
        <v>0</v>
      </c>
    </row>
    <row r="51" spans="1:13" s="311" customFormat="1" x14ac:dyDescent="0.3">
      <c r="A51" s="375" t="s">
        <v>44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</row>
    <row r="52" spans="1:13" x14ac:dyDescent="0.3">
      <c r="A52" s="387" t="s">
        <v>46</v>
      </c>
      <c r="B52" s="387"/>
      <c r="C52" s="298"/>
      <c r="D52" s="168"/>
      <c r="E52" s="168"/>
      <c r="F52" s="168"/>
      <c r="G52" s="168"/>
      <c r="H52" s="168"/>
      <c r="I52" s="243"/>
      <c r="J52" s="168"/>
      <c r="K52" s="168"/>
      <c r="L52" s="168"/>
    </row>
    <row r="53" spans="1:13" x14ac:dyDescent="0.3">
      <c r="A53" s="247">
        <f>A48+1</f>
        <v>16</v>
      </c>
      <c r="B53" s="175" t="s">
        <v>47</v>
      </c>
      <c r="C53" s="298">
        <v>1995</v>
      </c>
      <c r="D53" s="168"/>
      <c r="E53" s="298" t="s">
        <v>133</v>
      </c>
      <c r="F53" s="304" t="s">
        <v>134</v>
      </c>
      <c r="G53" s="168"/>
      <c r="H53" s="277">
        <v>7041.9</v>
      </c>
      <c r="I53" s="343">
        <v>263</v>
      </c>
      <c r="J53" s="168">
        <f>SUMIF('2020'!B:B,B53,'2020'!C:C)+SUMIF('2021'!B:B,B53,'2021'!C:C)+SUMIF('2022'!B:B,B53,'2022'!C:C)</f>
        <v>130000</v>
      </c>
      <c r="K53" s="299">
        <v>44925</v>
      </c>
      <c r="L53" s="298" t="s">
        <v>107</v>
      </c>
    </row>
    <row r="54" spans="1:13" x14ac:dyDescent="0.3">
      <c r="A54" s="247">
        <f t="shared" ref="A54:A62" si="9">A53+1</f>
        <v>17</v>
      </c>
      <c r="B54" s="175" t="s">
        <v>49</v>
      </c>
      <c r="C54" s="298">
        <v>1995</v>
      </c>
      <c r="D54" s="168"/>
      <c r="E54" s="298" t="s">
        <v>109</v>
      </c>
      <c r="F54" s="304">
        <v>5</v>
      </c>
      <c r="G54" s="168"/>
      <c r="H54" s="277">
        <v>4086.1</v>
      </c>
      <c r="I54" s="344">
        <v>138</v>
      </c>
      <c r="J54" s="168">
        <f>SUMIF('2020'!B:B,B54,'2020'!C:C)+SUMIF('2021'!B:B,B54,'2021'!C:C)+SUMIF('2022'!B:B,B54,'2022'!C:C)</f>
        <v>130000</v>
      </c>
      <c r="K54" s="299">
        <v>44925</v>
      </c>
      <c r="L54" s="298" t="s">
        <v>107</v>
      </c>
    </row>
    <row r="55" spans="1:13" x14ac:dyDescent="0.3">
      <c r="A55" s="247">
        <f t="shared" si="9"/>
        <v>18</v>
      </c>
      <c r="B55" s="175" t="s">
        <v>153</v>
      </c>
      <c r="C55" s="298">
        <v>1967</v>
      </c>
      <c r="D55" s="168"/>
      <c r="E55" s="298" t="s">
        <v>133</v>
      </c>
      <c r="F55" s="304">
        <v>5</v>
      </c>
      <c r="G55" s="302"/>
      <c r="H55" s="303">
        <v>5081.5</v>
      </c>
      <c r="I55" s="304">
        <v>179</v>
      </c>
      <c r="J55" s="168">
        <f>SUMIF('2020'!B:B,B55,'2020'!C:C)+SUMIF('2021'!B:B,B55,'2021'!C:C)+SUMIF('2022'!B:B,B55,'2022'!C:C)</f>
        <v>692536.12</v>
      </c>
      <c r="K55" s="299">
        <v>44925</v>
      </c>
      <c r="L55" s="298" t="s">
        <v>152</v>
      </c>
    </row>
    <row r="56" spans="1:13" x14ac:dyDescent="0.3">
      <c r="A56" s="247">
        <f t="shared" si="9"/>
        <v>19</v>
      </c>
      <c r="B56" s="175" t="s">
        <v>154</v>
      </c>
      <c r="C56" s="298">
        <v>1982</v>
      </c>
      <c r="D56" s="168"/>
      <c r="E56" s="298" t="s">
        <v>109</v>
      </c>
      <c r="F56" s="304">
        <v>5</v>
      </c>
      <c r="G56" s="302"/>
      <c r="H56" s="303">
        <v>13791.2</v>
      </c>
      <c r="I56" s="304">
        <v>431</v>
      </c>
      <c r="J56" s="168">
        <f>SUMIF('2020'!B:B,B56,'2020'!C:C)+SUMIF('2021'!B:B,B56,'2021'!C:C)+SUMIF('2022'!B:B,B56,'2022'!C:C)</f>
        <v>2302330.79</v>
      </c>
      <c r="K56" s="299">
        <v>44925</v>
      </c>
      <c r="L56" s="298" t="s">
        <v>152</v>
      </c>
    </row>
    <row r="57" spans="1:13" x14ac:dyDescent="0.3">
      <c r="A57" s="247">
        <f t="shared" si="9"/>
        <v>20</v>
      </c>
      <c r="B57" s="175" t="s">
        <v>51</v>
      </c>
      <c r="C57" s="298">
        <v>1958</v>
      </c>
      <c r="D57" s="168"/>
      <c r="E57" s="298" t="s">
        <v>135</v>
      </c>
      <c r="F57" s="304">
        <v>3</v>
      </c>
      <c r="G57" s="168"/>
      <c r="H57" s="277">
        <v>1195.8</v>
      </c>
      <c r="I57" s="343">
        <v>29</v>
      </c>
      <c r="J57" s="168">
        <f>SUMIF('2020'!B:B,B57,'2020'!C:C)+SUMIF('2021'!B:B,B57,'2021'!C:C)+SUMIF('2022'!B:B,B57,'2022'!C:C)</f>
        <v>862328.91000000015</v>
      </c>
      <c r="K57" s="299">
        <v>44925</v>
      </c>
      <c r="L57" s="298" t="s">
        <v>107</v>
      </c>
    </row>
    <row r="58" spans="1:13" x14ac:dyDescent="0.3">
      <c r="A58" s="247">
        <f t="shared" si="9"/>
        <v>21</v>
      </c>
      <c r="B58" s="175" t="s">
        <v>53</v>
      </c>
      <c r="C58" s="298">
        <v>1966</v>
      </c>
      <c r="D58" s="168"/>
      <c r="E58" s="298" t="s">
        <v>136</v>
      </c>
      <c r="F58" s="304">
        <v>5</v>
      </c>
      <c r="G58" s="168"/>
      <c r="H58" s="277">
        <v>3787</v>
      </c>
      <c r="I58" s="343">
        <v>140</v>
      </c>
      <c r="J58" s="168">
        <f>SUMIF('2020'!B:B,B58,'2020'!C:C)+SUMIF('2021'!B:B,B58,'2021'!C:C)+SUMIF('2022'!B:B,B58,'2022'!C:C)</f>
        <v>782831.04</v>
      </c>
      <c r="K58" s="299">
        <v>44925</v>
      </c>
      <c r="L58" s="298" t="s">
        <v>107</v>
      </c>
    </row>
    <row r="59" spans="1:13" x14ac:dyDescent="0.3">
      <c r="A59" s="247">
        <f t="shared" si="9"/>
        <v>22</v>
      </c>
      <c r="B59" s="175" t="s">
        <v>156</v>
      </c>
      <c r="C59" s="298">
        <v>1968</v>
      </c>
      <c r="D59" s="168"/>
      <c r="E59" s="298" t="s">
        <v>133</v>
      </c>
      <c r="F59" s="304">
        <v>3</v>
      </c>
      <c r="G59" s="302"/>
      <c r="H59" s="303">
        <v>1348.4</v>
      </c>
      <c r="I59" s="304">
        <v>42</v>
      </c>
      <c r="J59" s="168">
        <f>SUMIF('2020'!B:B,B59,'2020'!C:C)+SUMIF('2021'!B:B,B59,'2021'!C:C)+SUMIF('2022'!B:B,B59,'2022'!C:C)</f>
        <v>542850.34</v>
      </c>
      <c r="K59" s="299">
        <v>44925</v>
      </c>
      <c r="L59" s="298" t="s">
        <v>152</v>
      </c>
    </row>
    <row r="60" spans="1:13" x14ac:dyDescent="0.3">
      <c r="A60" s="247">
        <f t="shared" si="9"/>
        <v>23</v>
      </c>
      <c r="B60" s="175" t="s">
        <v>55</v>
      </c>
      <c r="C60" s="298">
        <v>1969</v>
      </c>
      <c r="D60" s="168"/>
      <c r="E60" s="298" t="s">
        <v>109</v>
      </c>
      <c r="F60" s="304">
        <v>5</v>
      </c>
      <c r="G60" s="168"/>
      <c r="H60" s="277">
        <v>5972.1</v>
      </c>
      <c r="I60" s="343">
        <v>200</v>
      </c>
      <c r="J60" s="168">
        <f>SUMIF('2020'!B:B,B60,'2020'!C:C)+SUMIF('2021'!B:B,B60,'2021'!C:C)+SUMIF('2022'!B:B,B60,'2022'!C:C)</f>
        <v>858673.53999999992</v>
      </c>
      <c r="K60" s="299">
        <v>44925</v>
      </c>
      <c r="L60" s="298" t="s">
        <v>107</v>
      </c>
    </row>
    <row r="61" spans="1:13" x14ac:dyDescent="0.3">
      <c r="A61" s="247">
        <f t="shared" si="9"/>
        <v>24</v>
      </c>
      <c r="B61" s="175" t="s">
        <v>157</v>
      </c>
      <c r="C61" s="298">
        <v>1965</v>
      </c>
      <c r="D61" s="168"/>
      <c r="E61" s="298" t="s">
        <v>133</v>
      </c>
      <c r="F61" s="304">
        <v>5</v>
      </c>
      <c r="G61" s="302"/>
      <c r="H61" s="303">
        <v>2531.77</v>
      </c>
      <c r="I61" s="304">
        <v>123</v>
      </c>
      <c r="J61" s="168">
        <f>SUMIF('2020'!B:B,B61,'2020'!C:C)+SUMIF('2021'!B:B,B61,'2021'!C:C)+SUMIF('2022'!B:B,B61,'2022'!C:C)</f>
        <v>881946.48</v>
      </c>
      <c r="K61" s="299">
        <v>44925</v>
      </c>
      <c r="L61" s="298" t="s">
        <v>152</v>
      </c>
    </row>
    <row r="62" spans="1:13" x14ac:dyDescent="0.3">
      <c r="A62" s="247">
        <f t="shared" si="9"/>
        <v>25</v>
      </c>
      <c r="B62" s="175" t="s">
        <v>158</v>
      </c>
      <c r="C62" s="298">
        <v>1969</v>
      </c>
      <c r="D62" s="168"/>
      <c r="E62" s="298" t="s">
        <v>133</v>
      </c>
      <c r="F62" s="304">
        <v>5</v>
      </c>
      <c r="G62" s="302"/>
      <c r="H62" s="303">
        <v>3419.88</v>
      </c>
      <c r="I62" s="304">
        <v>171</v>
      </c>
      <c r="J62" s="168">
        <f>SUMIF('2020'!B:B,B62,'2020'!C:C)+SUMIF('2021'!B:B,B62,'2021'!C:C)+SUMIF('2022'!B:B,B62,'2022'!C:C)</f>
        <v>776662.74</v>
      </c>
      <c r="K62" s="299">
        <v>44925</v>
      </c>
      <c r="L62" s="298" t="s">
        <v>152</v>
      </c>
    </row>
    <row r="63" spans="1:13" x14ac:dyDescent="0.3">
      <c r="A63" s="247">
        <f t="shared" ref="A63:A65" si="10">A62+1</f>
        <v>26</v>
      </c>
      <c r="B63" s="175" t="s">
        <v>214</v>
      </c>
      <c r="C63" s="298">
        <v>1976</v>
      </c>
      <c r="D63" s="168"/>
      <c r="E63" s="298" t="s">
        <v>133</v>
      </c>
      <c r="F63" s="304">
        <v>5</v>
      </c>
      <c r="G63" s="302"/>
      <c r="H63" s="303">
        <v>2267.1999999999998</v>
      </c>
      <c r="I63" s="304">
        <v>105</v>
      </c>
      <c r="J63" s="168">
        <f>SUMIF('2020'!B:B,B63,'2020'!C:C)+SUMIF('2021'!B:B,B63,'2021'!C:C)+SUMIF('2022'!B:B,B63,'2022'!C:C)</f>
        <v>133829</v>
      </c>
      <c r="K63" s="299">
        <v>44925</v>
      </c>
      <c r="L63" s="298" t="s">
        <v>152</v>
      </c>
    </row>
    <row r="64" spans="1:13" x14ac:dyDescent="0.3">
      <c r="A64" s="247">
        <f t="shared" si="10"/>
        <v>27</v>
      </c>
      <c r="B64" s="175" t="s">
        <v>159</v>
      </c>
      <c r="C64" s="298">
        <v>1977</v>
      </c>
      <c r="D64" s="168"/>
      <c r="E64" s="298" t="s">
        <v>160</v>
      </c>
      <c r="F64" s="304">
        <v>5</v>
      </c>
      <c r="G64" s="302"/>
      <c r="H64" s="303">
        <v>2986</v>
      </c>
      <c r="I64" s="304">
        <v>78</v>
      </c>
      <c r="J64" s="168">
        <f>SUMIF('2020'!B:B,B64,'2020'!C:C)+SUMIF('2021'!B:B,B64,'2021'!C:C)+SUMIF('2022'!B:B,B64,'2022'!C:C)</f>
        <v>803479.8</v>
      </c>
      <c r="K64" s="299">
        <v>44925</v>
      </c>
      <c r="L64" s="298" t="s">
        <v>152</v>
      </c>
    </row>
    <row r="65" spans="1:13" x14ac:dyDescent="0.3">
      <c r="A65" s="247">
        <f t="shared" si="10"/>
        <v>28</v>
      </c>
      <c r="B65" s="175" t="s">
        <v>57</v>
      </c>
      <c r="C65" s="298">
        <v>1966</v>
      </c>
      <c r="D65" s="168"/>
      <c r="E65" s="298" t="s">
        <v>136</v>
      </c>
      <c r="F65" s="304">
        <v>5</v>
      </c>
      <c r="G65" s="168"/>
      <c r="H65" s="277">
        <v>3787</v>
      </c>
      <c r="I65" s="343">
        <v>151</v>
      </c>
      <c r="J65" s="168">
        <f>SUMIF('2020'!B:B,B65,'2020'!C:C)+SUMIF('2021'!B:B,B65,'2021'!C:C)+SUMIF('2022'!B:B,B65,'2022'!C:C)</f>
        <v>777297.84</v>
      </c>
      <c r="K65" s="299">
        <v>44925</v>
      </c>
      <c r="L65" s="298" t="s">
        <v>107</v>
      </c>
    </row>
    <row r="66" spans="1:13" x14ac:dyDescent="0.3">
      <c r="A66" s="247">
        <f>A65+1</f>
        <v>29</v>
      </c>
      <c r="B66" s="175" t="s">
        <v>58</v>
      </c>
      <c r="C66" s="298">
        <v>1968</v>
      </c>
      <c r="D66" s="168"/>
      <c r="E66" s="298" t="s">
        <v>136</v>
      </c>
      <c r="F66" s="304">
        <v>5</v>
      </c>
      <c r="G66" s="168"/>
      <c r="H66" s="277">
        <v>3607</v>
      </c>
      <c r="I66" s="343">
        <v>148</v>
      </c>
      <c r="J66" s="168">
        <f>SUMIF('2020'!B:B,B66,'2020'!C:C)+SUMIF('2021'!B:B,B66,'2021'!C:C)+SUMIF('2022'!B:B,B66,'2022'!C:C)</f>
        <v>729079.54</v>
      </c>
      <c r="K66" s="299">
        <v>44925</v>
      </c>
      <c r="L66" s="298" t="s">
        <v>107</v>
      </c>
    </row>
    <row r="67" spans="1:13" x14ac:dyDescent="0.3">
      <c r="A67" s="247">
        <f>A66+1</f>
        <v>30</v>
      </c>
      <c r="B67" s="175" t="s">
        <v>59</v>
      </c>
      <c r="C67" s="298">
        <v>1968</v>
      </c>
      <c r="D67" s="168"/>
      <c r="E67" s="298" t="s">
        <v>136</v>
      </c>
      <c r="F67" s="304">
        <v>5</v>
      </c>
      <c r="G67" s="168"/>
      <c r="H67" s="277">
        <v>3607</v>
      </c>
      <c r="I67" s="343">
        <v>148</v>
      </c>
      <c r="J67" s="168">
        <f>SUMIF('2020'!B:B,B67,'2020'!C:C)+SUMIF('2021'!B:B,B67,'2021'!C:C)+SUMIF('2022'!B:B,B67,'2022'!C:C)</f>
        <v>729079.54</v>
      </c>
      <c r="K67" s="299">
        <v>44925</v>
      </c>
      <c r="L67" s="298" t="s">
        <v>107</v>
      </c>
    </row>
    <row r="68" spans="1:13" x14ac:dyDescent="0.3">
      <c r="A68" s="247">
        <f>A67+1</f>
        <v>31</v>
      </c>
      <c r="B68" s="175" t="s">
        <v>60</v>
      </c>
      <c r="C68" s="298">
        <v>1970</v>
      </c>
      <c r="D68" s="168"/>
      <c r="E68" s="298" t="s">
        <v>109</v>
      </c>
      <c r="F68" s="304">
        <v>5</v>
      </c>
      <c r="G68" s="168"/>
      <c r="H68" s="277">
        <v>5892.36</v>
      </c>
      <c r="I68" s="343">
        <v>181</v>
      </c>
      <c r="J68" s="168">
        <f>SUMIF('2020'!B:B,B68,'2020'!C:C)+SUMIF('2021'!B:B,B68,'2021'!C:C)+SUMIF('2022'!B:B,B68,'2022'!C:C)</f>
        <v>859792.65999999992</v>
      </c>
      <c r="K68" s="299">
        <v>44925</v>
      </c>
      <c r="L68" s="298" t="s">
        <v>107</v>
      </c>
    </row>
    <row r="69" spans="1:13" x14ac:dyDescent="0.3">
      <c r="A69" s="247"/>
      <c r="B69" s="175" t="s">
        <v>35</v>
      </c>
      <c r="C69" s="298" t="s">
        <v>144</v>
      </c>
      <c r="D69" s="298" t="s">
        <v>144</v>
      </c>
      <c r="E69" s="298" t="s">
        <v>144</v>
      </c>
      <c r="F69" s="298" t="s">
        <v>144</v>
      </c>
      <c r="G69" s="298" t="s">
        <v>144</v>
      </c>
      <c r="H69" s="168">
        <f>SUM(H53:H68)</f>
        <v>70402.209999999992</v>
      </c>
      <c r="I69" s="243">
        <f>SUM(I53:I68)</f>
        <v>2527</v>
      </c>
      <c r="J69" s="168">
        <f>SUM(J53:J68)</f>
        <v>11992718.34</v>
      </c>
      <c r="K69" s="168" t="s">
        <v>144</v>
      </c>
      <c r="L69" s="168" t="s">
        <v>144</v>
      </c>
    </row>
    <row r="70" spans="1:13" s="311" customFormat="1" x14ac:dyDescent="0.3">
      <c r="A70" s="382" t="s">
        <v>61</v>
      </c>
      <c r="B70" s="382"/>
      <c r="C70" s="222" t="s">
        <v>144</v>
      </c>
      <c r="D70" s="222" t="s">
        <v>144</v>
      </c>
      <c r="E70" s="222" t="s">
        <v>144</v>
      </c>
      <c r="F70" s="222" t="s">
        <v>144</v>
      </c>
      <c r="G70" s="222" t="s">
        <v>144</v>
      </c>
      <c r="H70" s="222">
        <f>H69</f>
        <v>70402.209999999992</v>
      </c>
      <c r="I70" s="345">
        <f>I69</f>
        <v>2527</v>
      </c>
      <c r="J70" s="222">
        <f>J69</f>
        <v>11992718.34</v>
      </c>
      <c r="K70" s="222" t="s">
        <v>144</v>
      </c>
      <c r="L70" s="222" t="s">
        <v>144</v>
      </c>
      <c r="M70" s="310">
        <f>J70-'2021'!C58</f>
        <v>0</v>
      </c>
    </row>
    <row r="71" spans="1:13" s="311" customFormat="1" x14ac:dyDescent="0.3">
      <c r="A71" s="375" t="s">
        <v>162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46"/>
    </row>
    <row r="72" spans="1:13" x14ac:dyDescent="0.3">
      <c r="A72" s="382" t="s">
        <v>163</v>
      </c>
      <c r="B72" s="382"/>
      <c r="C72" s="168"/>
      <c r="D72" s="163"/>
      <c r="E72" s="163"/>
      <c r="F72" s="163"/>
      <c r="G72" s="168"/>
      <c r="H72" s="160"/>
      <c r="I72" s="168"/>
      <c r="J72" s="168"/>
      <c r="K72" s="168"/>
      <c r="L72" s="302"/>
    </row>
    <row r="73" spans="1:13" x14ac:dyDescent="0.3">
      <c r="A73" s="247">
        <f>A68+1</f>
        <v>32</v>
      </c>
      <c r="B73" s="175" t="s">
        <v>164</v>
      </c>
      <c r="C73" s="298">
        <v>1989</v>
      </c>
      <c r="D73" s="163"/>
      <c r="E73" s="163" t="s">
        <v>165</v>
      </c>
      <c r="F73" s="160">
        <v>3</v>
      </c>
      <c r="G73" s="302"/>
      <c r="H73" s="168">
        <v>1454.1</v>
      </c>
      <c r="I73" s="160">
        <v>54</v>
      </c>
      <c r="J73" s="168">
        <f>SUMIF('2020'!B:B,B73,'2020'!C:C)+SUMIF('2021'!B:B,B73,'2021'!C:C)+SUMIF('2022'!B:B,B73,'2022'!C:C)</f>
        <v>81159</v>
      </c>
      <c r="K73" s="299">
        <v>44925</v>
      </c>
      <c r="L73" s="168" t="s">
        <v>152</v>
      </c>
    </row>
    <row r="74" spans="1:13" x14ac:dyDescent="0.3">
      <c r="A74" s="247"/>
      <c r="B74" s="175" t="s">
        <v>35</v>
      </c>
      <c r="C74" s="168" t="s">
        <v>144</v>
      </c>
      <c r="D74" s="168" t="s">
        <v>144</v>
      </c>
      <c r="E74" s="168" t="s">
        <v>144</v>
      </c>
      <c r="F74" s="168" t="s">
        <v>144</v>
      </c>
      <c r="G74" s="168">
        <f>SUM(G73:G73)</f>
        <v>0</v>
      </c>
      <c r="H74" s="168">
        <f>SUM(H73:H73)</f>
        <v>1454.1</v>
      </c>
      <c r="I74" s="168">
        <f>SUM(I73:I73)</f>
        <v>54</v>
      </c>
      <c r="J74" s="168">
        <f>SUM(J73:J73)</f>
        <v>81159</v>
      </c>
      <c r="K74" s="168" t="s">
        <v>144</v>
      </c>
      <c r="L74" s="302"/>
    </row>
    <row r="75" spans="1:13" s="311" customFormat="1" x14ac:dyDescent="0.3">
      <c r="A75" s="382" t="s">
        <v>242</v>
      </c>
      <c r="B75" s="382"/>
      <c r="C75" s="222" t="s">
        <v>144</v>
      </c>
      <c r="D75" s="222" t="s">
        <v>144</v>
      </c>
      <c r="E75" s="222" t="s">
        <v>144</v>
      </c>
      <c r="F75" s="222" t="s">
        <v>144</v>
      </c>
      <c r="G75" s="222" t="s">
        <v>144</v>
      </c>
      <c r="H75" s="222">
        <f>H74</f>
        <v>1454.1</v>
      </c>
      <c r="I75" s="345">
        <f>I74</f>
        <v>54</v>
      </c>
      <c r="J75" s="222">
        <f>J74</f>
        <v>81159</v>
      </c>
      <c r="K75" s="222" t="s">
        <v>144</v>
      </c>
      <c r="L75" s="222" t="s">
        <v>144</v>
      </c>
    </row>
    <row r="76" spans="1:13" s="311" customFormat="1" x14ac:dyDescent="0.3">
      <c r="A76" s="375" t="s">
        <v>62</v>
      </c>
      <c r="B76" s="375"/>
      <c r="C76" s="375"/>
      <c r="D76" s="375"/>
      <c r="E76" s="375"/>
      <c r="F76" s="375"/>
      <c r="G76" s="375"/>
      <c r="H76" s="375"/>
      <c r="I76" s="375"/>
      <c r="J76" s="375"/>
      <c r="K76" s="375"/>
      <c r="L76" s="375"/>
    </row>
    <row r="77" spans="1:13" x14ac:dyDescent="0.3">
      <c r="A77" s="382" t="s">
        <v>63</v>
      </c>
      <c r="B77" s="382"/>
      <c r="C77" s="168"/>
      <c r="D77" s="163"/>
      <c r="E77" s="222"/>
      <c r="F77" s="222"/>
      <c r="G77" s="222"/>
      <c r="H77" s="222"/>
      <c r="I77" s="345"/>
      <c r="J77" s="222"/>
      <c r="K77" s="222"/>
      <c r="L77" s="222"/>
    </row>
    <row r="78" spans="1:13" x14ac:dyDescent="0.3">
      <c r="A78" s="247">
        <f>A73+1</f>
        <v>33</v>
      </c>
      <c r="B78" s="175" t="s">
        <v>64</v>
      </c>
      <c r="C78" s="298">
        <v>1978</v>
      </c>
      <c r="D78" s="163"/>
      <c r="E78" s="305" t="s">
        <v>102</v>
      </c>
      <c r="F78" s="305">
        <v>5</v>
      </c>
      <c r="G78" s="168"/>
      <c r="H78" s="347">
        <v>6129.6</v>
      </c>
      <c r="I78" s="348">
        <v>239</v>
      </c>
      <c r="J78" s="168">
        <f>SUMIF('2020'!B:B,B78,'2020'!C:C)+SUMIF('2021'!B:B,B78,'2021'!C:C)+SUMIF('2022'!B:B,B78,'2022'!C:C)</f>
        <v>164944</v>
      </c>
      <c r="K78" s="299">
        <v>44925</v>
      </c>
      <c r="L78" s="168" t="s">
        <v>107</v>
      </c>
    </row>
    <row r="79" spans="1:13" x14ac:dyDescent="0.3">
      <c r="A79" s="247">
        <f>A78+1</f>
        <v>34</v>
      </c>
      <c r="B79" s="175" t="s">
        <v>65</v>
      </c>
      <c r="C79" s="298">
        <v>1977</v>
      </c>
      <c r="D79" s="163"/>
      <c r="E79" s="305" t="s">
        <v>137</v>
      </c>
      <c r="F79" s="305">
        <v>5</v>
      </c>
      <c r="G79" s="168"/>
      <c r="H79" s="347">
        <v>5964.3</v>
      </c>
      <c r="I79" s="348">
        <v>319</v>
      </c>
      <c r="J79" s="168">
        <f>SUMIF('2020'!B:B,B79,'2020'!C:C)+SUMIF('2021'!B:B,B79,'2021'!C:C)+SUMIF('2022'!B:B,B79,'2022'!C:C)</f>
        <v>1207707.6499999999</v>
      </c>
      <c r="K79" s="299">
        <v>44925</v>
      </c>
      <c r="L79" s="168" t="s">
        <v>107</v>
      </c>
    </row>
    <row r="80" spans="1:13" x14ac:dyDescent="0.3">
      <c r="A80" s="247">
        <f t="shared" ref="A80:A83" si="11">A79+1</f>
        <v>35</v>
      </c>
      <c r="B80" s="175" t="s">
        <v>167</v>
      </c>
      <c r="C80" s="298">
        <v>1976</v>
      </c>
      <c r="D80" s="163"/>
      <c r="E80" s="238" t="s">
        <v>102</v>
      </c>
      <c r="F80" s="238">
        <v>9</v>
      </c>
      <c r="G80" s="302"/>
      <c r="H80" s="238">
        <v>7589.8</v>
      </c>
      <c r="I80" s="318">
        <v>371</v>
      </c>
      <c r="J80" s="168">
        <f>SUMIF('2020'!B:B,B80,'2020'!C:C)+SUMIF('2021'!B:B,B80,'2021'!C:C)+SUMIF('2022'!B:B,B80,'2022'!C:C)</f>
        <v>739312.52</v>
      </c>
      <c r="K80" s="299">
        <v>44925</v>
      </c>
      <c r="L80" s="168" t="s">
        <v>152</v>
      </c>
    </row>
    <row r="81" spans="1:13" x14ac:dyDescent="0.3">
      <c r="A81" s="247">
        <f t="shared" si="11"/>
        <v>36</v>
      </c>
      <c r="B81" s="175" t="s">
        <v>216</v>
      </c>
      <c r="C81" s="298">
        <v>1968</v>
      </c>
      <c r="D81" s="163"/>
      <c r="E81" s="305" t="s">
        <v>103</v>
      </c>
      <c r="F81" s="305">
        <v>5</v>
      </c>
      <c r="G81" s="302"/>
      <c r="H81" s="305">
        <v>3349.7</v>
      </c>
      <c r="I81" s="306">
        <v>163</v>
      </c>
      <c r="J81" s="168">
        <f>SUMIF('2020'!B:B,B81,'2020'!C:C)+SUMIF('2021'!B:B,B81,'2021'!C:C)+SUMIF('2022'!B:B,B81,'2022'!C:C)</f>
        <v>1072983.67</v>
      </c>
      <c r="K81" s="299">
        <v>44925</v>
      </c>
      <c r="L81" s="168" t="s">
        <v>152</v>
      </c>
    </row>
    <row r="82" spans="1:13" x14ac:dyDescent="0.3">
      <c r="A82" s="247">
        <f t="shared" si="11"/>
        <v>37</v>
      </c>
      <c r="B82" s="175" t="s">
        <v>168</v>
      </c>
      <c r="C82" s="298">
        <v>1974</v>
      </c>
      <c r="D82" s="163"/>
      <c r="E82" s="238" t="s">
        <v>102</v>
      </c>
      <c r="F82" s="238">
        <v>5</v>
      </c>
      <c r="G82" s="302"/>
      <c r="H82" s="238">
        <v>9093.6</v>
      </c>
      <c r="I82" s="318">
        <v>391</v>
      </c>
      <c r="J82" s="168">
        <f>SUMIF('2020'!B:B,B82,'2020'!C:C)+SUMIF('2021'!B:B,B82,'2021'!C:C)+SUMIF('2022'!B:B,B82,'2022'!C:C)</f>
        <v>2183445.64</v>
      </c>
      <c r="K82" s="299">
        <v>44925</v>
      </c>
      <c r="L82" s="168" t="s">
        <v>152</v>
      </c>
    </row>
    <row r="83" spans="1:13" x14ac:dyDescent="0.3">
      <c r="A83" s="247">
        <f t="shared" si="11"/>
        <v>38</v>
      </c>
      <c r="B83" s="175" t="s">
        <v>169</v>
      </c>
      <c r="C83" s="298">
        <v>1977</v>
      </c>
      <c r="D83" s="163"/>
      <c r="E83" s="238" t="s">
        <v>102</v>
      </c>
      <c r="F83" s="305">
        <v>9</v>
      </c>
      <c r="G83" s="302"/>
      <c r="H83" s="305">
        <v>8247.6</v>
      </c>
      <c r="I83" s="306">
        <v>411</v>
      </c>
      <c r="J83" s="168">
        <f>SUMIF('2020'!B:B,B83,'2020'!C:C)+SUMIF('2021'!B:B,B83,'2021'!C:C)+SUMIF('2022'!B:B,B83,'2022'!C:C)</f>
        <v>1949742.6</v>
      </c>
      <c r="K83" s="299">
        <v>44925</v>
      </c>
      <c r="L83" s="168" t="s">
        <v>152</v>
      </c>
    </row>
    <row r="84" spans="1:13" x14ac:dyDescent="0.3">
      <c r="A84" s="247">
        <f>A83+1</f>
        <v>39</v>
      </c>
      <c r="B84" s="175" t="s">
        <v>146</v>
      </c>
      <c r="C84" s="298"/>
      <c r="D84" s="163"/>
      <c r="E84" s="305"/>
      <c r="F84" s="305"/>
      <c r="G84" s="296"/>
      <c r="H84" s="168"/>
      <c r="I84" s="347"/>
      <c r="J84" s="168">
        <f>SUMIF('2020'!B:B,B84,'2020'!C:C)+SUMIF('2021'!B:B,B84,'2021'!C:C)+SUMIF('2022'!B:B,B84,'2022'!C:C)</f>
        <v>110000</v>
      </c>
      <c r="K84" s="299">
        <v>44925</v>
      </c>
      <c r="L84" s="168" t="s">
        <v>107</v>
      </c>
    </row>
    <row r="85" spans="1:13" x14ac:dyDescent="0.3">
      <c r="A85" s="247">
        <f>A84+1</f>
        <v>40</v>
      </c>
      <c r="B85" s="175" t="s">
        <v>170</v>
      </c>
      <c r="C85" s="298">
        <v>1976</v>
      </c>
      <c r="D85" s="163"/>
      <c r="E85" s="238" t="s">
        <v>102</v>
      </c>
      <c r="F85" s="238">
        <v>5</v>
      </c>
      <c r="G85" s="302"/>
      <c r="H85" s="238">
        <v>2713.8</v>
      </c>
      <c r="I85" s="318">
        <v>164</v>
      </c>
      <c r="J85" s="168">
        <f>SUMIF('2020'!B:B,B85,'2020'!C:C)+SUMIF('2021'!B:B,B85,'2021'!C:C)+SUMIF('2022'!B:B,B85,'2022'!C:C)</f>
        <v>130000</v>
      </c>
      <c r="K85" s="299">
        <v>44925</v>
      </c>
      <c r="L85" s="168" t="s">
        <v>152</v>
      </c>
    </row>
    <row r="86" spans="1:13" x14ac:dyDescent="0.3">
      <c r="A86" s="247"/>
      <c r="B86" s="175" t="s">
        <v>35</v>
      </c>
      <c r="C86" s="168" t="s">
        <v>144</v>
      </c>
      <c r="D86" s="168" t="s">
        <v>144</v>
      </c>
      <c r="E86" s="168" t="s">
        <v>144</v>
      </c>
      <c r="F86" s="168" t="s">
        <v>144</v>
      </c>
      <c r="G86" s="168" t="s">
        <v>144</v>
      </c>
      <c r="H86" s="168">
        <f>SUM(H78:H85)</f>
        <v>43088.4</v>
      </c>
      <c r="I86" s="168">
        <f>SUM(I78:I85)</f>
        <v>2058</v>
      </c>
      <c r="J86" s="168">
        <f>SUM(J78:J85)</f>
        <v>7558136.0800000001</v>
      </c>
      <c r="K86" s="168" t="s">
        <v>144</v>
      </c>
      <c r="L86" s="168" t="s">
        <v>144</v>
      </c>
    </row>
    <row r="87" spans="1:13" s="311" customFormat="1" x14ac:dyDescent="0.3">
      <c r="A87" s="382" t="s">
        <v>147</v>
      </c>
      <c r="B87" s="382"/>
      <c r="C87" s="222" t="s">
        <v>144</v>
      </c>
      <c r="D87" s="222" t="s">
        <v>144</v>
      </c>
      <c r="E87" s="222" t="s">
        <v>144</v>
      </c>
      <c r="F87" s="222" t="s">
        <v>144</v>
      </c>
      <c r="G87" s="222" t="s">
        <v>144</v>
      </c>
      <c r="H87" s="222">
        <f>H86</f>
        <v>43088.4</v>
      </c>
      <c r="I87" s="345">
        <f>I86</f>
        <v>2058</v>
      </c>
      <c r="J87" s="222">
        <f>J86</f>
        <v>7558136.0800000001</v>
      </c>
      <c r="K87" s="222" t="s">
        <v>144</v>
      </c>
      <c r="L87" s="222" t="s">
        <v>144</v>
      </c>
      <c r="M87" s="310">
        <f>J87-'2021'!C64-'2022'!C25</f>
        <v>0</v>
      </c>
    </row>
    <row r="88" spans="1:13" x14ac:dyDescent="0.3">
      <c r="A88" s="381" t="s">
        <v>67</v>
      </c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</row>
    <row r="89" spans="1:13" x14ac:dyDescent="0.3">
      <c r="A89" s="377" t="s">
        <v>68</v>
      </c>
      <c r="B89" s="377"/>
      <c r="C89" s="168"/>
      <c r="D89" s="163"/>
      <c r="E89" s="163"/>
      <c r="F89" s="163"/>
      <c r="G89" s="163"/>
      <c r="H89" s="168"/>
      <c r="I89" s="243"/>
      <c r="J89" s="168"/>
      <c r="K89" s="349"/>
      <c r="L89" s="168"/>
    </row>
    <row r="90" spans="1:13" x14ac:dyDescent="0.3">
      <c r="A90" s="247">
        <f>A85+1</f>
        <v>41</v>
      </c>
      <c r="B90" s="175" t="s">
        <v>217</v>
      </c>
      <c r="C90" s="298">
        <v>1975</v>
      </c>
      <c r="D90" s="163"/>
      <c r="E90" s="163" t="s">
        <v>101</v>
      </c>
      <c r="F90" s="160">
        <v>5</v>
      </c>
      <c r="G90" s="302"/>
      <c r="H90" s="163">
        <v>6728.7</v>
      </c>
      <c r="I90" s="160">
        <v>130</v>
      </c>
      <c r="J90" s="168">
        <f>SUMIF('2020'!B:B,B90,'2020'!C:C)+SUMIF('2021'!B:B,B90,'2021'!C:C)+SUMIF('2022'!B:B,B90,'2022'!C:C)</f>
        <v>130000</v>
      </c>
      <c r="K90" s="299">
        <v>44925</v>
      </c>
      <c r="L90" s="168" t="s">
        <v>152</v>
      </c>
    </row>
    <row r="91" spans="1:13" x14ac:dyDescent="0.3">
      <c r="A91" s="247">
        <f>A90+1</f>
        <v>42</v>
      </c>
      <c r="B91" s="175" t="s">
        <v>69</v>
      </c>
      <c r="C91" s="298">
        <v>1976</v>
      </c>
      <c r="D91" s="163"/>
      <c r="E91" s="163"/>
      <c r="F91" s="163"/>
      <c r="G91" s="163"/>
      <c r="H91" s="168"/>
      <c r="I91" s="243"/>
      <c r="J91" s="168">
        <f>SUMIF('2020'!B:B,B91,'2020'!C:C)+SUMIF('2021'!B:B,B91,'2021'!C:C)+SUMIF('2022'!B:B,B91,'2022'!C:C)</f>
        <v>130000</v>
      </c>
      <c r="K91" s="299">
        <v>44925</v>
      </c>
      <c r="L91" s="168" t="s">
        <v>107</v>
      </c>
    </row>
    <row r="92" spans="1:13" x14ac:dyDescent="0.3">
      <c r="A92" s="247">
        <f>A91+1</f>
        <v>43</v>
      </c>
      <c r="B92" s="175" t="s">
        <v>70</v>
      </c>
      <c r="C92" s="298">
        <v>1974</v>
      </c>
      <c r="D92" s="163"/>
      <c r="E92" s="163"/>
      <c r="F92" s="163"/>
      <c r="G92" s="163"/>
      <c r="H92" s="168"/>
      <c r="I92" s="243"/>
      <c r="J92" s="168">
        <f>SUMIF('2020'!B:B,B92,'2020'!C:C)+SUMIF('2021'!B:B,B92,'2021'!C:C)+SUMIF('2022'!B:B,B92,'2022'!C:C)</f>
        <v>130000</v>
      </c>
      <c r="K92" s="299">
        <v>44925</v>
      </c>
      <c r="L92" s="168" t="s">
        <v>107</v>
      </c>
    </row>
    <row r="93" spans="1:13" x14ac:dyDescent="0.3">
      <c r="A93" s="247">
        <f>A92+1</f>
        <v>44</v>
      </c>
      <c r="B93" s="175" t="s">
        <v>71</v>
      </c>
      <c r="C93" s="298">
        <v>1973</v>
      </c>
      <c r="D93" s="163"/>
      <c r="E93" s="163"/>
      <c r="F93" s="163"/>
      <c r="G93" s="163"/>
      <c r="H93" s="168"/>
      <c r="I93" s="243"/>
      <c r="J93" s="168">
        <f>SUMIF('2020'!B:B,B93,'2020'!C:C)+SUMIF('2021'!B:B,B93,'2021'!C:C)+SUMIF('2022'!B:B,B93,'2022'!C:C)</f>
        <v>130000</v>
      </c>
      <c r="K93" s="299">
        <v>44925</v>
      </c>
      <c r="L93" s="168" t="s">
        <v>107</v>
      </c>
    </row>
    <row r="94" spans="1:13" x14ac:dyDescent="0.3">
      <c r="A94" s="374" t="s">
        <v>35</v>
      </c>
      <c r="B94" s="374"/>
      <c r="C94" s="168" t="s">
        <v>144</v>
      </c>
      <c r="D94" s="168" t="s">
        <v>144</v>
      </c>
      <c r="E94" s="168" t="s">
        <v>144</v>
      </c>
      <c r="F94" s="168" t="s">
        <v>144</v>
      </c>
      <c r="G94" s="168" t="s">
        <v>144</v>
      </c>
      <c r="H94" s="168">
        <f>SUM(H91:H93)</f>
        <v>0</v>
      </c>
      <c r="I94" s="168">
        <f>SUM(I91:I93)</f>
        <v>0</v>
      </c>
      <c r="J94" s="168">
        <f>SUM(J91:J93)</f>
        <v>390000</v>
      </c>
      <c r="K94" s="168" t="s">
        <v>144</v>
      </c>
      <c r="L94" s="168" t="s">
        <v>144</v>
      </c>
    </row>
    <row r="95" spans="1:13" x14ac:dyDescent="0.3">
      <c r="A95" s="377" t="s">
        <v>171</v>
      </c>
      <c r="B95" s="377"/>
      <c r="C95" s="168"/>
      <c r="D95" s="163"/>
      <c r="E95" s="163"/>
      <c r="F95" s="163"/>
      <c r="G95" s="163"/>
      <c r="H95" s="160"/>
      <c r="I95" s="168"/>
      <c r="J95" s="349"/>
      <c r="K95" s="168"/>
      <c r="L95" s="302"/>
    </row>
    <row r="96" spans="1:13" x14ac:dyDescent="0.3">
      <c r="A96" s="247">
        <f>A93+1</f>
        <v>45</v>
      </c>
      <c r="B96" s="175" t="s">
        <v>172</v>
      </c>
      <c r="C96" s="298">
        <v>1975</v>
      </c>
      <c r="D96" s="163"/>
      <c r="E96" s="163"/>
      <c r="F96" s="160">
        <v>5</v>
      </c>
      <c r="G96" s="302"/>
      <c r="H96" s="163">
        <v>1944.1</v>
      </c>
      <c r="I96" s="160">
        <v>65</v>
      </c>
      <c r="J96" s="168">
        <f>SUMIF('2020'!B:B,B96,'2020'!C:C)+SUMIF('2021'!B:B,B96,'2021'!C:C)+SUMIF('2022'!B:B,B96,'2022'!C:C)</f>
        <v>580271.29</v>
      </c>
      <c r="K96" s="299">
        <v>44925</v>
      </c>
      <c r="L96" s="168" t="s">
        <v>152</v>
      </c>
    </row>
    <row r="97" spans="1:13" x14ac:dyDescent="0.3">
      <c r="A97" s="374" t="s">
        <v>35</v>
      </c>
      <c r="B97" s="374"/>
      <c r="C97" s="298" t="s">
        <v>144</v>
      </c>
      <c r="D97" s="298" t="s">
        <v>144</v>
      </c>
      <c r="E97" s="298" t="s">
        <v>144</v>
      </c>
      <c r="F97" s="298" t="s">
        <v>144</v>
      </c>
      <c r="G97" s="168"/>
      <c r="H97" s="168">
        <f>SUM(H96)</f>
        <v>1944.1</v>
      </c>
      <c r="I97" s="168">
        <f>SUM(I96)</f>
        <v>65</v>
      </c>
      <c r="J97" s="168">
        <f>SUM(J96)</f>
        <v>580271.29</v>
      </c>
      <c r="K97" s="168" t="s">
        <v>144</v>
      </c>
      <c r="L97" s="302"/>
    </row>
    <row r="98" spans="1:13" x14ac:dyDescent="0.3">
      <c r="A98" s="382" t="s">
        <v>148</v>
      </c>
      <c r="B98" s="382"/>
      <c r="C98" s="222" t="s">
        <v>144</v>
      </c>
      <c r="D98" s="222" t="s">
        <v>144</v>
      </c>
      <c r="E98" s="222" t="s">
        <v>144</v>
      </c>
      <c r="F98" s="222" t="s">
        <v>144</v>
      </c>
      <c r="G98" s="222" t="s">
        <v>144</v>
      </c>
      <c r="H98" s="222">
        <f>H97+H94</f>
        <v>1944.1</v>
      </c>
      <c r="I98" s="222">
        <f>I97+I94</f>
        <v>65</v>
      </c>
      <c r="J98" s="222">
        <f>J97+J94</f>
        <v>970271.29</v>
      </c>
      <c r="K98" s="222" t="s">
        <v>144</v>
      </c>
      <c r="L98" s="222" t="s">
        <v>144</v>
      </c>
      <c r="M98" s="350">
        <f>J98-'2021'!C75</f>
        <v>0</v>
      </c>
    </row>
    <row r="99" spans="1:13" s="311" customFormat="1" x14ac:dyDescent="0.3">
      <c r="A99" s="317"/>
      <c r="B99" s="399" t="s">
        <v>218</v>
      </c>
      <c r="C99" s="399"/>
      <c r="D99" s="399"/>
      <c r="E99" s="399"/>
      <c r="F99" s="399"/>
      <c r="G99" s="399"/>
      <c r="H99" s="399"/>
      <c r="I99" s="399"/>
      <c r="J99" s="399"/>
      <c r="K99" s="346"/>
      <c r="L99" s="346"/>
    </row>
    <row r="100" spans="1:13" x14ac:dyDescent="0.3">
      <c r="A100" s="377" t="s">
        <v>219</v>
      </c>
      <c r="B100" s="377"/>
      <c r="C100" s="168"/>
      <c r="D100" s="168"/>
      <c r="E100" s="168"/>
      <c r="F100" s="168"/>
      <c r="G100" s="168"/>
      <c r="H100" s="160"/>
      <c r="I100" s="168"/>
      <c r="J100" s="168"/>
      <c r="K100" s="302"/>
      <c r="L100" s="302"/>
    </row>
    <row r="101" spans="1:13" x14ac:dyDescent="0.3">
      <c r="A101" s="247">
        <f>A96+1</f>
        <v>46</v>
      </c>
      <c r="B101" s="175" t="s">
        <v>220</v>
      </c>
      <c r="C101" s="298">
        <v>1975</v>
      </c>
      <c r="D101" s="168"/>
      <c r="E101" s="305" t="s">
        <v>136</v>
      </c>
      <c r="F101" s="305">
        <v>5</v>
      </c>
      <c r="G101" s="302"/>
      <c r="H101" s="305">
        <v>5361</v>
      </c>
      <c r="I101" s="306">
        <v>245</v>
      </c>
      <c r="J101" s="168">
        <f>SUMIF('2020'!B:B,B101,'2020'!C:C)+SUMIF('2021'!B:B,B101,'2021'!C:C)+SUMIF('2022'!B:B,B101,'2022'!C:C)</f>
        <v>1634102.77</v>
      </c>
      <c r="K101" s="299">
        <v>44925</v>
      </c>
      <c r="L101" s="168" t="s">
        <v>152</v>
      </c>
    </row>
    <row r="102" spans="1:13" x14ac:dyDescent="0.3">
      <c r="A102" s="374" t="s">
        <v>35</v>
      </c>
      <c r="B102" s="374"/>
      <c r="C102" s="298" t="s">
        <v>144</v>
      </c>
      <c r="D102" s="298" t="s">
        <v>144</v>
      </c>
      <c r="E102" s="298" t="s">
        <v>144</v>
      </c>
      <c r="F102" s="298" t="s">
        <v>144</v>
      </c>
      <c r="G102" s="168"/>
      <c r="H102" s="168">
        <f t="shared" ref="H102:I102" si="12">H101</f>
        <v>5361</v>
      </c>
      <c r="I102" s="168">
        <f t="shared" si="12"/>
        <v>245</v>
      </c>
      <c r="J102" s="168">
        <f>J101</f>
        <v>1634102.77</v>
      </c>
      <c r="K102" s="168" t="s">
        <v>144</v>
      </c>
      <c r="L102" s="302"/>
    </row>
    <row r="103" spans="1:13" x14ac:dyDescent="0.3">
      <c r="A103" s="377" t="s">
        <v>222</v>
      </c>
      <c r="B103" s="377"/>
      <c r="C103" s="168"/>
      <c r="D103" s="168"/>
      <c r="E103" s="168"/>
      <c r="F103" s="168"/>
      <c r="G103" s="168"/>
      <c r="H103" s="160"/>
      <c r="I103" s="168"/>
      <c r="J103" s="168"/>
      <c r="K103" s="302"/>
      <c r="L103" s="302"/>
    </row>
    <row r="104" spans="1:13" x14ac:dyDescent="0.3">
      <c r="A104" s="247">
        <f>A101+1</f>
        <v>47</v>
      </c>
      <c r="B104" s="175" t="s">
        <v>223</v>
      </c>
      <c r="C104" s="298">
        <v>1977</v>
      </c>
      <c r="D104" s="168"/>
      <c r="E104" s="335" t="s">
        <v>102</v>
      </c>
      <c r="F104" s="301">
        <v>5</v>
      </c>
      <c r="G104" s="302"/>
      <c r="H104" s="303">
        <v>5006.6000000000004</v>
      </c>
      <c r="I104" s="351">
        <v>167</v>
      </c>
      <c r="J104" s="168">
        <f>SUMIF('2020'!B:B,B104,'2020'!C:C)+SUMIF('2021'!B:B,B104,'2021'!C:C)+SUMIF('2022'!B:B,B104,'2022'!C:C)</f>
        <v>130000</v>
      </c>
      <c r="K104" s="299">
        <v>44925</v>
      </c>
      <c r="L104" s="168" t="s">
        <v>152</v>
      </c>
    </row>
    <row r="105" spans="1:13" x14ac:dyDescent="0.3">
      <c r="A105" s="247">
        <f>A104+1</f>
        <v>48</v>
      </c>
      <c r="B105" s="175" t="s">
        <v>224</v>
      </c>
      <c r="C105" s="298">
        <v>1984</v>
      </c>
      <c r="D105" s="168"/>
      <c r="E105" s="335" t="s">
        <v>102</v>
      </c>
      <c r="F105" s="301">
        <v>3</v>
      </c>
      <c r="G105" s="302"/>
      <c r="H105" s="303">
        <v>2096.1999999999998</v>
      </c>
      <c r="I105" s="351">
        <v>52</v>
      </c>
      <c r="J105" s="168">
        <f>SUMIF('2020'!B:B,B105,'2020'!C:C)+SUMIF('2021'!B:B,B105,'2021'!C:C)+SUMIF('2022'!B:B,B105,'2022'!C:C)</f>
        <v>492972.77</v>
      </c>
      <c r="K105" s="299">
        <v>44925</v>
      </c>
      <c r="L105" s="168" t="s">
        <v>152</v>
      </c>
    </row>
    <row r="106" spans="1:13" x14ac:dyDescent="0.3">
      <c r="A106" s="247">
        <f t="shared" ref="A106:A107" si="13">A105+1</f>
        <v>49</v>
      </c>
      <c r="B106" s="175" t="s">
        <v>225</v>
      </c>
      <c r="C106" s="298">
        <v>1972</v>
      </c>
      <c r="D106" s="168"/>
      <c r="E106" s="335" t="s">
        <v>102</v>
      </c>
      <c r="F106" s="301">
        <v>5</v>
      </c>
      <c r="G106" s="302"/>
      <c r="H106" s="303">
        <v>4548.1000000000004</v>
      </c>
      <c r="I106" s="351">
        <v>205</v>
      </c>
      <c r="J106" s="168">
        <f>SUMIF('2020'!B:B,B106,'2020'!C:C)+SUMIF('2021'!B:B,B106,'2021'!C:C)+SUMIF('2022'!B:B,B106,'2022'!C:C)</f>
        <v>115701.19</v>
      </c>
      <c r="K106" s="299">
        <v>44925</v>
      </c>
      <c r="L106" s="168" t="s">
        <v>152</v>
      </c>
    </row>
    <row r="107" spans="1:13" x14ac:dyDescent="0.3">
      <c r="A107" s="247">
        <f t="shared" si="13"/>
        <v>50</v>
      </c>
      <c r="B107" s="175" t="s">
        <v>226</v>
      </c>
      <c r="C107" s="298">
        <v>1975</v>
      </c>
      <c r="D107" s="168"/>
      <c r="E107" s="335" t="s">
        <v>102</v>
      </c>
      <c r="F107" s="301">
        <v>5</v>
      </c>
      <c r="G107" s="302"/>
      <c r="H107" s="303">
        <v>3355.9</v>
      </c>
      <c r="I107" s="351">
        <v>130</v>
      </c>
      <c r="J107" s="168">
        <f>SUMIF('2020'!B:B,B107,'2020'!C:C)+SUMIF('2021'!B:B,B107,'2021'!C:C)+SUMIF('2022'!B:B,B107,'2022'!C:C)</f>
        <v>130000</v>
      </c>
      <c r="K107" s="299">
        <v>44925</v>
      </c>
      <c r="L107" s="168" t="s">
        <v>152</v>
      </c>
    </row>
    <row r="108" spans="1:13" x14ac:dyDescent="0.3">
      <c r="A108" s="374" t="s">
        <v>35</v>
      </c>
      <c r="B108" s="374"/>
      <c r="C108" s="168" t="s">
        <v>144</v>
      </c>
      <c r="D108" s="168" t="s">
        <v>144</v>
      </c>
      <c r="E108" s="168" t="s">
        <v>144</v>
      </c>
      <c r="F108" s="168" t="s">
        <v>144</v>
      </c>
      <c r="G108" s="168" t="s">
        <v>144</v>
      </c>
      <c r="H108" s="168">
        <f t="shared" ref="H108:I108" si="14">SUM(H104:H107)</f>
        <v>15006.800000000001</v>
      </c>
      <c r="I108" s="168">
        <f t="shared" si="14"/>
        <v>554</v>
      </c>
      <c r="J108" s="168">
        <f>SUM(J104:J107)</f>
        <v>868673.96</v>
      </c>
      <c r="K108" s="168" t="s">
        <v>144</v>
      </c>
      <c r="L108" s="168" t="s">
        <v>144</v>
      </c>
    </row>
    <row r="109" spans="1:13" x14ac:dyDescent="0.3">
      <c r="A109" s="377" t="s">
        <v>227</v>
      </c>
      <c r="B109" s="377"/>
      <c r="C109" s="168"/>
      <c r="D109" s="168"/>
      <c r="E109" s="168"/>
      <c r="F109" s="168"/>
      <c r="G109" s="168"/>
      <c r="H109" s="160"/>
      <c r="I109" s="168"/>
      <c r="J109" s="168"/>
      <c r="K109" s="302"/>
      <c r="L109" s="302"/>
    </row>
    <row r="110" spans="1:13" x14ac:dyDescent="0.3">
      <c r="A110" s="247">
        <f>A107+1</f>
        <v>51</v>
      </c>
      <c r="B110" s="175" t="s">
        <v>228</v>
      </c>
      <c r="C110" s="298">
        <v>1979</v>
      </c>
      <c r="D110" s="298"/>
      <c r="E110" s="168" t="s">
        <v>109</v>
      </c>
      <c r="F110" s="168">
        <v>5</v>
      </c>
      <c r="G110" s="302"/>
      <c r="H110" s="168">
        <v>4343.7</v>
      </c>
      <c r="I110" s="160">
        <v>128</v>
      </c>
      <c r="J110" s="168">
        <f>SUMIF('2020'!B:B,B110,'2020'!C:C)+SUMIF('2021'!B:B,B110,'2021'!C:C)+SUMIF('2022'!B:B,B110,'2022'!C:C)</f>
        <v>1985182.3699999999</v>
      </c>
      <c r="K110" s="299">
        <v>44925</v>
      </c>
      <c r="L110" s="168" t="s">
        <v>152</v>
      </c>
    </row>
    <row r="111" spans="1:13" x14ac:dyDescent="0.3">
      <c r="A111" s="247">
        <f>A110+1</f>
        <v>52</v>
      </c>
      <c r="B111" s="175" t="s">
        <v>229</v>
      </c>
      <c r="C111" s="298">
        <v>1976</v>
      </c>
      <c r="D111" s="298"/>
      <c r="E111" s="168" t="s">
        <v>109</v>
      </c>
      <c r="F111" s="168">
        <v>5</v>
      </c>
      <c r="G111" s="302"/>
      <c r="H111" s="168">
        <v>4017.2</v>
      </c>
      <c r="I111" s="160">
        <v>122</v>
      </c>
      <c r="J111" s="168">
        <f>SUMIF('2020'!B:B,B111,'2020'!C:C)+SUMIF('2021'!B:B,B111,'2021'!C:C)+SUMIF('2022'!B:B,B111,'2022'!C:C)</f>
        <v>1762533.62</v>
      </c>
      <c r="K111" s="299">
        <v>44925</v>
      </c>
      <c r="L111" s="168" t="s">
        <v>152</v>
      </c>
    </row>
    <row r="112" spans="1:13" x14ac:dyDescent="0.3">
      <c r="A112" s="247">
        <f t="shared" ref="A112:A116" si="15">A111+1</f>
        <v>53</v>
      </c>
      <c r="B112" s="175" t="s">
        <v>230</v>
      </c>
      <c r="C112" s="298">
        <v>1979</v>
      </c>
      <c r="D112" s="298"/>
      <c r="E112" s="168" t="s">
        <v>109</v>
      </c>
      <c r="F112" s="168">
        <v>5</v>
      </c>
      <c r="G112" s="302"/>
      <c r="H112" s="168">
        <v>4009.2</v>
      </c>
      <c r="I112" s="160">
        <v>137</v>
      </c>
      <c r="J112" s="168">
        <f>SUMIF('2020'!B:B,B112,'2020'!C:C)+SUMIF('2021'!B:B,B112,'2021'!C:C)+SUMIF('2022'!B:B,B112,'2022'!C:C)</f>
        <v>1576538.24</v>
      </c>
      <c r="K112" s="299">
        <v>44925</v>
      </c>
      <c r="L112" s="168" t="s">
        <v>152</v>
      </c>
    </row>
    <row r="113" spans="1:13" x14ac:dyDescent="0.3">
      <c r="A113" s="247">
        <f t="shared" si="15"/>
        <v>54</v>
      </c>
      <c r="B113" s="175" t="s">
        <v>231</v>
      </c>
      <c r="C113" s="298">
        <v>1966</v>
      </c>
      <c r="D113" s="298"/>
      <c r="E113" s="168" t="s">
        <v>100</v>
      </c>
      <c r="F113" s="168">
        <v>2</v>
      </c>
      <c r="G113" s="302"/>
      <c r="H113" s="168">
        <v>710.7</v>
      </c>
      <c r="I113" s="160">
        <v>18</v>
      </c>
      <c r="J113" s="168">
        <f>SUMIF('2020'!B:B,B113,'2020'!C:C)+SUMIF('2021'!B:B,B113,'2021'!C:C)+SUMIF('2022'!B:B,B113,'2022'!C:C)</f>
        <v>707715.12</v>
      </c>
      <c r="K113" s="299">
        <v>44925</v>
      </c>
      <c r="L113" s="168" t="s">
        <v>152</v>
      </c>
    </row>
    <row r="114" spans="1:13" x14ac:dyDescent="0.3">
      <c r="A114" s="247">
        <f t="shared" si="15"/>
        <v>55</v>
      </c>
      <c r="B114" s="175" t="s">
        <v>232</v>
      </c>
      <c r="C114" s="298">
        <v>1976</v>
      </c>
      <c r="D114" s="298"/>
      <c r="E114" s="168" t="s">
        <v>109</v>
      </c>
      <c r="F114" s="168">
        <v>5</v>
      </c>
      <c r="G114" s="302"/>
      <c r="H114" s="168">
        <v>3329</v>
      </c>
      <c r="I114" s="160">
        <v>133</v>
      </c>
      <c r="J114" s="168">
        <f>SUMIF('2020'!B:B,B114,'2020'!C:C)+SUMIF('2021'!B:B,B114,'2021'!C:C)+SUMIF('2022'!B:B,B114,'2022'!C:C)</f>
        <v>1293884.29</v>
      </c>
      <c r="K114" s="299">
        <v>44925</v>
      </c>
      <c r="L114" s="168" t="s">
        <v>152</v>
      </c>
    </row>
    <row r="115" spans="1:13" x14ac:dyDescent="0.3">
      <c r="A115" s="247">
        <f t="shared" si="15"/>
        <v>56</v>
      </c>
      <c r="B115" s="175" t="s">
        <v>233</v>
      </c>
      <c r="C115" s="298">
        <v>1977</v>
      </c>
      <c r="D115" s="298"/>
      <c r="E115" s="168" t="s">
        <v>109</v>
      </c>
      <c r="F115" s="168">
        <v>5</v>
      </c>
      <c r="G115" s="302"/>
      <c r="H115" s="168">
        <v>3362.1</v>
      </c>
      <c r="I115" s="160">
        <v>111</v>
      </c>
      <c r="J115" s="168">
        <f>SUMIF('2020'!B:B,B115,'2020'!C:C)+SUMIF('2021'!B:B,B115,'2021'!C:C)+SUMIF('2022'!B:B,B115,'2022'!C:C)</f>
        <v>1801586.32</v>
      </c>
      <c r="K115" s="299">
        <v>44925</v>
      </c>
      <c r="L115" s="168" t="s">
        <v>152</v>
      </c>
    </row>
    <row r="116" spans="1:13" x14ac:dyDescent="0.3">
      <c r="A116" s="247">
        <f t="shared" si="15"/>
        <v>57</v>
      </c>
      <c r="B116" s="175" t="s">
        <v>234</v>
      </c>
      <c r="C116" s="298">
        <v>1980</v>
      </c>
      <c r="D116" s="298"/>
      <c r="E116" s="168" t="s">
        <v>109</v>
      </c>
      <c r="F116" s="168">
        <v>3</v>
      </c>
      <c r="G116" s="302"/>
      <c r="H116" s="168">
        <v>2191.9</v>
      </c>
      <c r="I116" s="160">
        <v>56</v>
      </c>
      <c r="J116" s="168">
        <f>SUMIF('2020'!B:B,B116,'2020'!C:C)+SUMIF('2021'!B:B,B116,'2021'!C:C)+SUMIF('2022'!B:B,B116,'2022'!C:C)</f>
        <v>928863.99</v>
      </c>
      <c r="K116" s="299">
        <v>44925</v>
      </c>
      <c r="L116" s="168" t="s">
        <v>152</v>
      </c>
    </row>
    <row r="117" spans="1:13" x14ac:dyDescent="0.3">
      <c r="A117" s="374" t="s">
        <v>35</v>
      </c>
      <c r="B117" s="374"/>
      <c r="C117" s="298" t="s">
        <v>144</v>
      </c>
      <c r="D117" s="298" t="s">
        <v>144</v>
      </c>
      <c r="E117" s="298" t="s">
        <v>144</v>
      </c>
      <c r="F117" s="298" t="s">
        <v>144</v>
      </c>
      <c r="G117" s="168"/>
      <c r="H117" s="168">
        <f t="shared" ref="H117:I117" si="16">SUM(H110:H116)</f>
        <v>21963.8</v>
      </c>
      <c r="I117" s="168">
        <f t="shared" si="16"/>
        <v>705</v>
      </c>
      <c r="J117" s="168">
        <f>SUM(J110:J116)</f>
        <v>10056303.950000001</v>
      </c>
      <c r="K117" s="168" t="s">
        <v>144</v>
      </c>
      <c r="L117" s="302"/>
    </row>
    <row r="118" spans="1:13" x14ac:dyDescent="0.3">
      <c r="A118" s="382" t="s">
        <v>221</v>
      </c>
      <c r="B118" s="382"/>
      <c r="C118" s="222" t="s">
        <v>144</v>
      </c>
      <c r="D118" s="222" t="s">
        <v>144</v>
      </c>
      <c r="E118" s="222" t="s">
        <v>144</v>
      </c>
      <c r="F118" s="222" t="s">
        <v>144</v>
      </c>
      <c r="G118" s="222" t="s">
        <v>144</v>
      </c>
      <c r="H118" s="222">
        <f t="shared" ref="H118:I118" si="17">H117+H108+H102</f>
        <v>42331.6</v>
      </c>
      <c r="I118" s="222">
        <f t="shared" si="17"/>
        <v>1504</v>
      </c>
      <c r="J118" s="222">
        <f>J117+J108+J102</f>
        <v>12559080.68</v>
      </c>
      <c r="K118" s="222" t="s">
        <v>144</v>
      </c>
      <c r="L118" s="222" t="s">
        <v>144</v>
      </c>
      <c r="M118" s="350">
        <f>J118-'2022'!C45</f>
        <v>0</v>
      </c>
    </row>
    <row r="119" spans="1:13" s="311" customFormat="1" x14ac:dyDescent="0.3">
      <c r="A119" s="381" t="s">
        <v>173</v>
      </c>
      <c r="B119" s="381"/>
      <c r="C119" s="381"/>
      <c r="D119" s="381"/>
      <c r="E119" s="381"/>
      <c r="F119" s="381"/>
      <c r="G119" s="381"/>
      <c r="H119" s="381"/>
      <c r="I119" s="381"/>
      <c r="J119" s="381"/>
      <c r="K119" s="381"/>
      <c r="L119" s="346"/>
    </row>
    <row r="120" spans="1:13" x14ac:dyDescent="0.3">
      <c r="A120" s="377" t="s">
        <v>174</v>
      </c>
      <c r="B120" s="377"/>
      <c r="C120" s="222"/>
      <c r="D120" s="222"/>
      <c r="E120" s="222"/>
      <c r="F120" s="222"/>
      <c r="G120" s="222"/>
      <c r="H120" s="352"/>
      <c r="I120" s="222"/>
      <c r="J120" s="222"/>
      <c r="K120" s="222"/>
      <c r="L120" s="302"/>
    </row>
    <row r="121" spans="1:13" x14ac:dyDescent="0.3">
      <c r="A121" s="247">
        <f>A116+1</f>
        <v>58</v>
      </c>
      <c r="B121" s="175" t="s">
        <v>175</v>
      </c>
      <c r="C121" s="298">
        <v>1974</v>
      </c>
      <c r="D121" s="163"/>
      <c r="E121" s="163" t="s">
        <v>101</v>
      </c>
      <c r="F121" s="160">
        <v>5</v>
      </c>
      <c r="G121" s="302"/>
      <c r="H121" s="163">
        <v>3659.54</v>
      </c>
      <c r="I121" s="160">
        <v>137</v>
      </c>
      <c r="J121" s="168">
        <f>SUMIF('2020'!B:B,B121,'2020'!C:C)+SUMIF('2021'!B:B,B121,'2021'!C:C)+SUMIF('2022'!B:B,B121,'2022'!C:C)</f>
        <v>24614738.259999998</v>
      </c>
      <c r="K121" s="299">
        <v>44925</v>
      </c>
      <c r="L121" s="168" t="s">
        <v>107</v>
      </c>
    </row>
    <row r="122" spans="1:13" x14ac:dyDescent="0.3">
      <c r="A122" s="374" t="s">
        <v>35</v>
      </c>
      <c r="B122" s="374"/>
      <c r="C122" s="168" t="s">
        <v>144</v>
      </c>
      <c r="D122" s="168" t="s">
        <v>144</v>
      </c>
      <c r="E122" s="168" t="s">
        <v>144</v>
      </c>
      <c r="F122" s="168" t="s">
        <v>144</v>
      </c>
      <c r="G122" s="168">
        <f>SUM(G121)</f>
        <v>0</v>
      </c>
      <c r="H122" s="168">
        <f>SUM(H121)</f>
        <v>3659.54</v>
      </c>
      <c r="I122" s="168">
        <f>SUM(I121)</f>
        <v>137</v>
      </c>
      <c r="J122" s="168">
        <f>SUM(J121)</f>
        <v>24614738.259999998</v>
      </c>
      <c r="K122" s="168" t="s">
        <v>144</v>
      </c>
      <c r="L122" s="302"/>
    </row>
    <row r="123" spans="1:13" x14ac:dyDescent="0.3">
      <c r="A123" s="377" t="s">
        <v>177</v>
      </c>
      <c r="B123" s="377"/>
      <c r="C123" s="168"/>
      <c r="D123" s="163"/>
      <c r="E123" s="168"/>
      <c r="F123" s="168"/>
      <c r="G123" s="168"/>
      <c r="H123" s="160"/>
      <c r="I123" s="168"/>
      <c r="J123" s="168"/>
      <c r="K123" s="168"/>
      <c r="L123" s="302"/>
    </row>
    <row r="124" spans="1:13" x14ac:dyDescent="0.3">
      <c r="A124" s="247">
        <f>A121+1</f>
        <v>59</v>
      </c>
      <c r="B124" s="175" t="s">
        <v>178</v>
      </c>
      <c r="C124" s="298">
        <v>1968</v>
      </c>
      <c r="D124" s="163"/>
      <c r="E124" s="168" t="s">
        <v>103</v>
      </c>
      <c r="F124" s="243">
        <v>5</v>
      </c>
      <c r="G124" s="302"/>
      <c r="H124" s="168">
        <v>3348.72</v>
      </c>
      <c r="I124" s="160">
        <v>104</v>
      </c>
      <c r="J124" s="168">
        <f>SUMIF('2020'!B:B,B124,'2020'!C:C)+SUMIF('2021'!B:B,B124,'2021'!C:C)+SUMIF('2022'!B:B,B124,'2022'!C:C)</f>
        <v>305138.77</v>
      </c>
      <c r="K124" s="299">
        <v>44925</v>
      </c>
      <c r="L124" s="168" t="s">
        <v>152</v>
      </c>
    </row>
    <row r="125" spans="1:13" x14ac:dyDescent="0.3">
      <c r="A125" s="374" t="s">
        <v>35</v>
      </c>
      <c r="B125" s="374"/>
      <c r="C125" s="168" t="s">
        <v>144</v>
      </c>
      <c r="D125" s="168" t="s">
        <v>144</v>
      </c>
      <c r="E125" s="168" t="s">
        <v>144</v>
      </c>
      <c r="F125" s="168" t="s">
        <v>144</v>
      </c>
      <c r="G125" s="168">
        <f>SUM(G124)</f>
        <v>0</v>
      </c>
      <c r="H125" s="168">
        <f>SUM(H124)</f>
        <v>3348.72</v>
      </c>
      <c r="I125" s="168">
        <f>SUM(I124)</f>
        <v>104</v>
      </c>
      <c r="J125" s="168">
        <f>SUM(J124)</f>
        <v>305138.77</v>
      </c>
      <c r="K125" s="168" t="s">
        <v>144</v>
      </c>
      <c r="L125" s="302"/>
    </row>
    <row r="126" spans="1:13" x14ac:dyDescent="0.3">
      <c r="A126" s="377" t="s">
        <v>179</v>
      </c>
      <c r="B126" s="377"/>
      <c r="C126" s="168"/>
      <c r="D126" s="163"/>
      <c r="E126" s="168"/>
      <c r="F126" s="168"/>
      <c r="G126" s="168"/>
      <c r="H126" s="160"/>
      <c r="I126" s="168"/>
      <c r="J126" s="168"/>
      <c r="K126" s="168"/>
      <c r="L126" s="302"/>
    </row>
    <row r="127" spans="1:13" x14ac:dyDescent="0.3">
      <c r="A127" s="247">
        <f>A124+1</f>
        <v>60</v>
      </c>
      <c r="B127" s="175" t="s">
        <v>180</v>
      </c>
      <c r="C127" s="298">
        <v>1978</v>
      </c>
      <c r="D127" s="163"/>
      <c r="E127" s="168" t="s">
        <v>102</v>
      </c>
      <c r="F127" s="243">
        <v>5</v>
      </c>
      <c r="G127" s="302"/>
      <c r="H127" s="168">
        <v>3165.8</v>
      </c>
      <c r="I127" s="160">
        <v>132</v>
      </c>
      <c r="J127" s="168">
        <f>SUMIF('2020'!B:B,B127,'2020'!C:C)+SUMIF('2021'!B:B,B127,'2021'!C:C)+SUMIF('2022'!B:B,B127,'2022'!C:C)</f>
        <v>431312.18</v>
      </c>
      <c r="K127" s="299">
        <v>44925</v>
      </c>
      <c r="L127" s="168" t="s">
        <v>152</v>
      </c>
    </row>
    <row r="128" spans="1:13" x14ac:dyDescent="0.3">
      <c r="A128" s="374" t="s">
        <v>35</v>
      </c>
      <c r="B128" s="374"/>
      <c r="C128" s="168" t="s">
        <v>144</v>
      </c>
      <c r="D128" s="168" t="s">
        <v>144</v>
      </c>
      <c r="E128" s="168" t="s">
        <v>144</v>
      </c>
      <c r="F128" s="168" t="s">
        <v>144</v>
      </c>
      <c r="G128" s="168">
        <f>SUM(G127)</f>
        <v>0</v>
      </c>
      <c r="H128" s="168">
        <f>SUM(H127)</f>
        <v>3165.8</v>
      </c>
      <c r="I128" s="168">
        <f>SUM(I127)</f>
        <v>132</v>
      </c>
      <c r="J128" s="168">
        <f>SUM(J127)</f>
        <v>431312.18</v>
      </c>
      <c r="K128" s="168" t="s">
        <v>144</v>
      </c>
      <c r="L128" s="302"/>
    </row>
    <row r="129" spans="1:13" x14ac:dyDescent="0.3">
      <c r="A129" s="377" t="s">
        <v>235</v>
      </c>
      <c r="B129" s="377"/>
      <c r="C129" s="168"/>
      <c r="D129" s="163"/>
      <c r="E129" s="168"/>
      <c r="F129" s="168"/>
      <c r="G129" s="168"/>
      <c r="H129" s="160"/>
      <c r="I129" s="168"/>
      <c r="J129" s="168"/>
      <c r="K129" s="302"/>
      <c r="L129" s="302"/>
    </row>
    <row r="130" spans="1:13" x14ac:dyDescent="0.3">
      <c r="A130" s="247">
        <f>A127+1</f>
        <v>61</v>
      </c>
      <c r="B130" s="175" t="s">
        <v>236</v>
      </c>
      <c r="C130" s="298">
        <v>1979</v>
      </c>
      <c r="D130" s="163"/>
      <c r="E130" s="168" t="s">
        <v>103</v>
      </c>
      <c r="F130" s="243">
        <v>5</v>
      </c>
      <c r="G130" s="302"/>
      <c r="H130" s="168">
        <v>3924.6</v>
      </c>
      <c r="I130" s="160">
        <v>81</v>
      </c>
      <c r="J130" s="168">
        <f>SUMIF('2020'!B:B,B130,'2020'!C:C)+SUMIF('2021'!B:B,B130,'2021'!C:C)+SUMIF('2022'!B:B,B130,'2022'!C:C)</f>
        <v>596302.76</v>
      </c>
      <c r="K130" s="299">
        <v>44925</v>
      </c>
      <c r="L130" s="168" t="s">
        <v>152</v>
      </c>
    </row>
    <row r="131" spans="1:13" x14ac:dyDescent="0.3">
      <c r="A131" s="374" t="s">
        <v>35</v>
      </c>
      <c r="B131" s="374"/>
      <c r="C131" s="168" t="s">
        <v>144</v>
      </c>
      <c r="D131" s="168" t="s">
        <v>144</v>
      </c>
      <c r="E131" s="168" t="s">
        <v>144</v>
      </c>
      <c r="F131" s="168" t="s">
        <v>144</v>
      </c>
      <c r="G131" s="168"/>
      <c r="H131" s="168">
        <f t="shared" ref="H131:I131" si="18">H130</f>
        <v>3924.6</v>
      </c>
      <c r="I131" s="168">
        <f t="shared" si="18"/>
        <v>81</v>
      </c>
      <c r="J131" s="168">
        <f>J130</f>
        <v>596302.76</v>
      </c>
      <c r="K131" s="168" t="s">
        <v>144</v>
      </c>
      <c r="L131" s="302"/>
    </row>
    <row r="132" spans="1:13" x14ac:dyDescent="0.3">
      <c r="A132" s="377" t="s">
        <v>181</v>
      </c>
      <c r="B132" s="377"/>
      <c r="C132" s="168"/>
      <c r="D132" s="163"/>
      <c r="E132" s="168"/>
      <c r="F132" s="168"/>
      <c r="G132" s="168"/>
      <c r="H132" s="160"/>
      <c r="I132" s="168"/>
      <c r="J132" s="168"/>
      <c r="K132" s="168"/>
      <c r="L132" s="238"/>
    </row>
    <row r="133" spans="1:13" x14ac:dyDescent="0.3">
      <c r="A133" s="247">
        <f>A130+1</f>
        <v>62</v>
      </c>
      <c r="B133" s="175" t="s">
        <v>182</v>
      </c>
      <c r="C133" s="298">
        <v>1976</v>
      </c>
      <c r="D133" s="163"/>
      <c r="E133" s="168" t="s">
        <v>101</v>
      </c>
      <c r="F133" s="243">
        <v>5</v>
      </c>
      <c r="G133" s="302"/>
      <c r="H133" s="168">
        <v>4426.6000000000004</v>
      </c>
      <c r="I133" s="160">
        <v>225</v>
      </c>
      <c r="J133" s="168">
        <f>SUMIF('2020'!B:B,B133,'2020'!C:C)+SUMIF('2021'!B:B,B133,'2021'!C:C)+SUMIF('2022'!B:B,B133,'2022'!C:C)</f>
        <v>1035984.08</v>
      </c>
      <c r="K133" s="299">
        <v>44925</v>
      </c>
      <c r="L133" s="168" t="s">
        <v>152</v>
      </c>
    </row>
    <row r="134" spans="1:13" ht="18" customHeight="1" x14ac:dyDescent="0.3">
      <c r="A134" s="247">
        <f>A133+1</f>
        <v>63</v>
      </c>
      <c r="B134" s="175" t="s">
        <v>183</v>
      </c>
      <c r="C134" s="298">
        <v>1977</v>
      </c>
      <c r="D134" s="163"/>
      <c r="E134" s="168" t="s">
        <v>101</v>
      </c>
      <c r="F134" s="243">
        <v>5</v>
      </c>
      <c r="G134" s="302"/>
      <c r="H134" s="168">
        <v>5904.9</v>
      </c>
      <c r="I134" s="160">
        <v>227</v>
      </c>
      <c r="J134" s="168">
        <f>SUMIF('2020'!B:B,B134,'2020'!C:C)+SUMIF('2021'!B:B,B134,'2021'!C:C)+SUMIF('2022'!B:B,B134,'2022'!C:C)</f>
        <v>1035984.08</v>
      </c>
      <c r="K134" s="299">
        <v>44925</v>
      </c>
      <c r="L134" s="168" t="s">
        <v>152</v>
      </c>
    </row>
    <row r="135" spans="1:13" ht="18" customHeight="1" x14ac:dyDescent="0.3">
      <c r="A135" s="247">
        <f>A134+1</f>
        <v>64</v>
      </c>
      <c r="B135" s="175" t="s">
        <v>184</v>
      </c>
      <c r="C135" s="298"/>
      <c r="D135" s="163"/>
      <c r="E135" s="168"/>
      <c r="F135" s="243"/>
      <c r="G135" s="302"/>
      <c r="H135" s="168"/>
      <c r="I135" s="160"/>
      <c r="J135" s="168">
        <f>SUMIF('2020'!B:B,B135,'2020'!C:C)+SUMIF('2021'!B:B,B135,'2021'!C:C)+SUMIF('2022'!B:B,B135,'2022'!C:C)</f>
        <v>790000</v>
      </c>
      <c r="K135" s="299">
        <v>44925</v>
      </c>
      <c r="L135" s="168" t="s">
        <v>152</v>
      </c>
    </row>
    <row r="136" spans="1:13" x14ac:dyDescent="0.3">
      <c r="A136" s="374" t="s">
        <v>35</v>
      </c>
      <c r="B136" s="374"/>
      <c r="C136" s="168" t="s">
        <v>144</v>
      </c>
      <c r="D136" s="168" t="s">
        <v>144</v>
      </c>
      <c r="E136" s="168" t="s">
        <v>144</v>
      </c>
      <c r="F136" s="168" t="s">
        <v>144</v>
      </c>
      <c r="G136" s="168">
        <f>SUM(G133:G135)</f>
        <v>0</v>
      </c>
      <c r="H136" s="168">
        <f t="shared" ref="H136:I136" si="19">SUM(H133:H135)</f>
        <v>10331.5</v>
      </c>
      <c r="I136" s="168">
        <f t="shared" si="19"/>
        <v>452</v>
      </c>
      <c r="J136" s="168">
        <f>SUM(J133:J135)</f>
        <v>2861968.16</v>
      </c>
      <c r="K136" s="168" t="s">
        <v>144</v>
      </c>
      <c r="L136" s="302"/>
    </row>
    <row r="137" spans="1:13" x14ac:dyDescent="0.3">
      <c r="A137" s="377" t="s">
        <v>237</v>
      </c>
      <c r="B137" s="377"/>
      <c r="C137" s="168"/>
      <c r="D137" s="163"/>
      <c r="E137" s="168"/>
      <c r="F137" s="168"/>
      <c r="G137" s="168"/>
      <c r="H137" s="160"/>
      <c r="I137" s="168"/>
      <c r="J137" s="168"/>
      <c r="K137" s="302"/>
      <c r="L137" s="302"/>
    </row>
    <row r="138" spans="1:13" x14ac:dyDescent="0.3">
      <c r="A138" s="247">
        <f>A135+1</f>
        <v>65</v>
      </c>
      <c r="B138" s="175" t="s">
        <v>238</v>
      </c>
      <c r="C138" s="298">
        <v>1970</v>
      </c>
      <c r="D138" s="163"/>
      <c r="E138" s="168" t="s">
        <v>103</v>
      </c>
      <c r="F138" s="243">
        <v>2</v>
      </c>
      <c r="G138" s="302"/>
      <c r="H138" s="168">
        <v>531.6</v>
      </c>
      <c r="I138" s="160">
        <v>18</v>
      </c>
      <c r="J138" s="168">
        <f>SUMIF('2020'!B:B,B138,'2020'!C:C)+SUMIF('2021'!B:B,B138,'2021'!C:C)+SUMIF('2022'!B:B,B138,'2022'!C:C)</f>
        <v>493967.67</v>
      </c>
      <c r="K138" s="299">
        <v>44925</v>
      </c>
      <c r="L138" s="168" t="s">
        <v>152</v>
      </c>
    </row>
    <row r="139" spans="1:13" x14ac:dyDescent="0.3">
      <c r="A139" s="374" t="s">
        <v>35</v>
      </c>
      <c r="B139" s="374"/>
      <c r="C139" s="168" t="s">
        <v>144</v>
      </c>
      <c r="D139" s="168" t="s">
        <v>144</v>
      </c>
      <c r="E139" s="168" t="s">
        <v>144</v>
      </c>
      <c r="F139" s="168" t="s">
        <v>144</v>
      </c>
      <c r="G139" s="168"/>
      <c r="H139" s="168">
        <f t="shared" ref="H139:I139" si="20">H138</f>
        <v>531.6</v>
      </c>
      <c r="I139" s="168">
        <f t="shared" si="20"/>
        <v>18</v>
      </c>
      <c r="J139" s="168">
        <f>J138</f>
        <v>493967.67</v>
      </c>
      <c r="K139" s="168" t="s">
        <v>144</v>
      </c>
      <c r="L139" s="302"/>
    </row>
    <row r="140" spans="1:13" x14ac:dyDescent="0.3">
      <c r="A140" s="300" t="s">
        <v>198</v>
      </c>
      <c r="B140" s="300"/>
      <c r="C140" s="168"/>
      <c r="D140" s="168"/>
      <c r="E140" s="168"/>
      <c r="F140" s="168"/>
      <c r="G140" s="168">
        <f t="shared" ref="G140:I140" si="21">G139+G136+G131+G128+G125+G122</f>
        <v>0</v>
      </c>
      <c r="H140" s="168">
        <f t="shared" si="21"/>
        <v>24961.760000000002</v>
      </c>
      <c r="I140" s="168">
        <f t="shared" si="21"/>
        <v>924</v>
      </c>
      <c r="J140" s="168">
        <f>J139+J136+J131+J128+J125+J122</f>
        <v>29303427.799999997</v>
      </c>
      <c r="K140" s="168"/>
      <c r="L140" s="302"/>
      <c r="M140" s="350">
        <f>J140-'2020'!C24-'2021'!C97</f>
        <v>0</v>
      </c>
    </row>
    <row r="141" spans="1:13" s="311" customFormat="1" x14ac:dyDescent="0.3">
      <c r="A141" s="381" t="s">
        <v>185</v>
      </c>
      <c r="B141" s="381"/>
      <c r="C141" s="381"/>
      <c r="D141" s="381"/>
      <c r="E141" s="381"/>
      <c r="F141" s="381"/>
      <c r="G141" s="381"/>
      <c r="H141" s="381"/>
      <c r="I141" s="381"/>
      <c r="J141" s="381"/>
      <c r="K141" s="381"/>
      <c r="L141" s="346"/>
    </row>
    <row r="142" spans="1:13" x14ac:dyDescent="0.3">
      <c r="A142" s="247">
        <f>A138+1</f>
        <v>66</v>
      </c>
      <c r="B142" s="175" t="s">
        <v>186</v>
      </c>
      <c r="C142" s="298">
        <v>1974</v>
      </c>
      <c r="D142" s="168"/>
      <c r="E142" s="168" t="s">
        <v>103</v>
      </c>
      <c r="F142" s="243">
        <v>12</v>
      </c>
      <c r="G142" s="302"/>
      <c r="H142" s="168">
        <v>3983.3</v>
      </c>
      <c r="I142" s="160">
        <v>169</v>
      </c>
      <c r="J142" s="168">
        <f>SUMIF('2020'!B:B,B142,'2020'!C:C)+SUMIF('2021'!B:B,B142,'2021'!C:C)+SUMIF('2022'!B:B,B142,'2022'!C:C)</f>
        <v>1674074.6</v>
      </c>
      <c r="K142" s="299">
        <v>44925</v>
      </c>
      <c r="L142" s="168" t="s">
        <v>152</v>
      </c>
    </row>
    <row r="143" spans="1:13" x14ac:dyDescent="0.3">
      <c r="A143" s="247">
        <f>A142+1</f>
        <v>67</v>
      </c>
      <c r="B143" s="175" t="s">
        <v>239</v>
      </c>
      <c r="C143" s="298">
        <v>1971</v>
      </c>
      <c r="D143" s="168"/>
      <c r="E143" s="168" t="s">
        <v>103</v>
      </c>
      <c r="F143" s="343">
        <v>9</v>
      </c>
      <c r="G143" s="302"/>
      <c r="H143" s="298">
        <v>1991.6</v>
      </c>
      <c r="I143" s="304" t="s">
        <v>240</v>
      </c>
      <c r="J143" s="168">
        <f>SUMIF('2020'!B:B,B143,'2020'!C:C)+SUMIF('2021'!B:B,B143,'2021'!C:C)+SUMIF('2022'!B:B,B143,'2022'!C:C)</f>
        <v>1422241.51</v>
      </c>
      <c r="K143" s="299">
        <v>44925</v>
      </c>
      <c r="L143" s="168" t="s">
        <v>152</v>
      </c>
    </row>
    <row r="144" spans="1:13" x14ac:dyDescent="0.3">
      <c r="A144" s="247">
        <f t="shared" ref="A144:A145" si="22">A143+1</f>
        <v>68</v>
      </c>
      <c r="B144" s="175" t="s">
        <v>187</v>
      </c>
      <c r="C144" s="298">
        <v>1973</v>
      </c>
      <c r="D144" s="168"/>
      <c r="E144" s="168" t="s">
        <v>103</v>
      </c>
      <c r="F144" s="343">
        <v>5</v>
      </c>
      <c r="G144" s="302"/>
      <c r="H144" s="298">
        <v>4135.8</v>
      </c>
      <c r="I144" s="304" t="s">
        <v>188</v>
      </c>
      <c r="J144" s="168">
        <f>SUMIF('2020'!B:B,B144,'2020'!C:C)+SUMIF('2021'!B:B,B144,'2021'!C:C)+SUMIF('2022'!B:B,B144,'2022'!C:C)</f>
        <v>1852399.63</v>
      </c>
      <c r="K144" s="299">
        <v>44925</v>
      </c>
      <c r="L144" s="168" t="s">
        <v>152</v>
      </c>
    </row>
    <row r="145" spans="1:13" x14ac:dyDescent="0.3">
      <c r="A145" s="247">
        <f t="shared" si="22"/>
        <v>69</v>
      </c>
      <c r="B145" s="175" t="s">
        <v>189</v>
      </c>
      <c r="C145" s="298">
        <v>1977</v>
      </c>
      <c r="D145" s="168"/>
      <c r="E145" s="168" t="s">
        <v>103</v>
      </c>
      <c r="F145" s="343">
        <v>5</v>
      </c>
      <c r="G145" s="302"/>
      <c r="H145" s="298">
        <v>4150.1000000000004</v>
      </c>
      <c r="I145" s="304" t="s">
        <v>190</v>
      </c>
      <c r="J145" s="168">
        <f>SUMIF('2020'!B:B,B145,'2020'!C:C)+SUMIF('2021'!B:B,B145,'2021'!C:C)+SUMIF('2022'!B:B,B145,'2022'!C:C)</f>
        <v>1609576.82</v>
      </c>
      <c r="K145" s="299">
        <v>44925</v>
      </c>
      <c r="L145" s="168" t="s">
        <v>152</v>
      </c>
    </row>
    <row r="146" spans="1:13" x14ac:dyDescent="0.3">
      <c r="A146" s="374" t="s">
        <v>35</v>
      </c>
      <c r="B146" s="374"/>
      <c r="C146" s="168" t="s">
        <v>144</v>
      </c>
      <c r="D146" s="168" t="s">
        <v>144</v>
      </c>
      <c r="E146" s="168" t="s">
        <v>144</v>
      </c>
      <c r="F146" s="168" t="s">
        <v>144</v>
      </c>
      <c r="G146" s="168">
        <f>SUM(G142:G145)</f>
        <v>0</v>
      </c>
      <c r="H146" s="168">
        <f>SUM(H142:H145)</f>
        <v>14260.800000000001</v>
      </c>
      <c r="I146" s="168">
        <f>SUM(I142:I145)</f>
        <v>169</v>
      </c>
      <c r="J146" s="168">
        <f>SUM(J142:J145)</f>
        <v>6558292.5600000005</v>
      </c>
      <c r="K146" s="168" t="s">
        <v>144</v>
      </c>
      <c r="L146" s="302"/>
      <c r="M146" s="350">
        <f>J146-'2021'!C109</f>
        <v>0</v>
      </c>
    </row>
    <row r="147" spans="1:13" s="311" customFormat="1" x14ac:dyDescent="0.3">
      <c r="A147" s="381" t="s">
        <v>73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</row>
    <row r="148" spans="1:13" x14ac:dyDescent="0.3">
      <c r="A148" s="377" t="s">
        <v>79</v>
      </c>
      <c r="B148" s="377"/>
      <c r="C148" s="168"/>
      <c r="D148" s="163"/>
      <c r="E148" s="163"/>
      <c r="F148" s="163"/>
      <c r="G148" s="163"/>
      <c r="H148" s="168"/>
      <c r="I148" s="243"/>
      <c r="J148" s="168"/>
      <c r="K148" s="168"/>
      <c r="L148" s="168"/>
    </row>
    <row r="149" spans="1:13" x14ac:dyDescent="0.3">
      <c r="A149" s="247">
        <f>A145+1</f>
        <v>70</v>
      </c>
      <c r="B149" s="175" t="s">
        <v>80</v>
      </c>
      <c r="C149" s="298">
        <v>1965</v>
      </c>
      <c r="D149" s="163"/>
      <c r="E149" s="163" t="s">
        <v>103</v>
      </c>
      <c r="F149" s="160">
        <v>5</v>
      </c>
      <c r="G149" s="163"/>
      <c r="H149" s="168">
        <v>3364.2</v>
      </c>
      <c r="I149" s="243">
        <v>162</v>
      </c>
      <c r="J149" s="168">
        <f>SUMIF('2020'!B:B,B149,'2020'!C:C)+SUMIF('2021'!B:B,B149,'2021'!C:C)+SUMIF('2022'!B:B,B149,'2022'!C:C)</f>
        <v>3046949.52</v>
      </c>
      <c r="K149" s="299">
        <v>44925</v>
      </c>
      <c r="L149" s="168" t="s">
        <v>107</v>
      </c>
    </row>
    <row r="150" spans="1:13" x14ac:dyDescent="0.3">
      <c r="A150" s="247">
        <f>A149+1</f>
        <v>71</v>
      </c>
      <c r="B150" s="175" t="s">
        <v>81</v>
      </c>
      <c r="C150" s="298">
        <v>1966</v>
      </c>
      <c r="D150" s="163"/>
      <c r="E150" s="163" t="s">
        <v>103</v>
      </c>
      <c r="F150" s="160">
        <v>5</v>
      </c>
      <c r="G150" s="163"/>
      <c r="H150" s="168">
        <v>3474.4</v>
      </c>
      <c r="I150" s="243">
        <v>90</v>
      </c>
      <c r="J150" s="168">
        <f>SUMIF('2020'!B:B,B150,'2020'!C:C)+SUMIF('2021'!B:B,B150,'2021'!C:C)+SUMIF('2022'!B:B,B150,'2022'!C:C)</f>
        <v>1258107.4100000001</v>
      </c>
      <c r="K150" s="299">
        <v>44925</v>
      </c>
      <c r="L150" s="168" t="s">
        <v>107</v>
      </c>
    </row>
    <row r="151" spans="1:13" x14ac:dyDescent="0.3">
      <c r="A151" s="374" t="s">
        <v>35</v>
      </c>
      <c r="B151" s="374"/>
      <c r="C151" s="168" t="s">
        <v>144</v>
      </c>
      <c r="D151" s="168" t="s">
        <v>144</v>
      </c>
      <c r="E151" s="168" t="s">
        <v>144</v>
      </c>
      <c r="F151" s="168" t="s">
        <v>144</v>
      </c>
      <c r="G151" s="168" t="s">
        <v>144</v>
      </c>
      <c r="H151" s="168">
        <f>SUM(H149:H150)</f>
        <v>6838.6</v>
      </c>
      <c r="I151" s="243">
        <f t="shared" ref="I151:J151" si="23">SUM(I149:I150)</f>
        <v>252</v>
      </c>
      <c r="J151" s="168">
        <f t="shared" si="23"/>
        <v>4305056.93</v>
      </c>
      <c r="K151" s="168" t="s">
        <v>144</v>
      </c>
      <c r="L151" s="168" t="s">
        <v>144</v>
      </c>
    </row>
    <row r="152" spans="1:13" s="311" customFormat="1" x14ac:dyDescent="0.3">
      <c r="A152" s="376" t="s">
        <v>82</v>
      </c>
      <c r="B152" s="376"/>
      <c r="C152" s="222" t="s">
        <v>144</v>
      </c>
      <c r="D152" s="222" t="s">
        <v>144</v>
      </c>
      <c r="E152" s="222" t="s">
        <v>144</v>
      </c>
      <c r="F152" s="222" t="s">
        <v>144</v>
      </c>
      <c r="G152" s="222" t="s">
        <v>144</v>
      </c>
      <c r="H152" s="222">
        <f t="shared" ref="H152:I152" si="24">H151</f>
        <v>6838.6</v>
      </c>
      <c r="I152" s="345">
        <f t="shared" si="24"/>
        <v>252</v>
      </c>
      <c r="J152" s="222">
        <f t="shared" ref="J152" si="25">J151</f>
        <v>4305056.93</v>
      </c>
      <c r="K152" s="222" t="s">
        <v>144</v>
      </c>
      <c r="L152" s="222" t="s">
        <v>144</v>
      </c>
      <c r="M152" s="310">
        <f>J152-'2020'!C29-'2021'!C103</f>
        <v>0</v>
      </c>
    </row>
    <row r="153" spans="1:13" s="311" customFormat="1" x14ac:dyDescent="0.3">
      <c r="A153" s="381" t="s">
        <v>83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</row>
    <row r="154" spans="1:13" x14ac:dyDescent="0.3">
      <c r="A154" s="377" t="s">
        <v>84</v>
      </c>
      <c r="B154" s="377"/>
      <c r="C154" s="168"/>
      <c r="D154" s="163"/>
      <c r="E154" s="163"/>
      <c r="F154" s="163"/>
      <c r="G154" s="163"/>
      <c r="H154" s="168"/>
      <c r="I154" s="243"/>
      <c r="J154" s="168"/>
      <c r="K154" s="168"/>
      <c r="L154" s="168"/>
    </row>
    <row r="155" spans="1:13" x14ac:dyDescent="0.3">
      <c r="A155" s="247">
        <f>A150+1</f>
        <v>72</v>
      </c>
      <c r="B155" s="175" t="s">
        <v>85</v>
      </c>
      <c r="C155" s="298">
        <v>1972</v>
      </c>
      <c r="D155" s="163"/>
      <c r="E155" s="163" t="s">
        <v>101</v>
      </c>
      <c r="F155" s="243">
        <v>9</v>
      </c>
      <c r="G155" s="163"/>
      <c r="H155" s="168">
        <v>13377.9</v>
      </c>
      <c r="I155" s="243">
        <v>0</v>
      </c>
      <c r="J155" s="168">
        <f>SUMIF('2020'!B:B,B155,'2020'!C:C)+SUMIF('2021'!B:B,B155,'2021'!C:C)+SUMIF('2022'!B:B,B155,'2022'!C:C)</f>
        <v>130000</v>
      </c>
      <c r="K155" s="299">
        <v>44925</v>
      </c>
      <c r="L155" s="168" t="s">
        <v>107</v>
      </c>
    </row>
    <row r="156" spans="1:13" s="311" customFormat="1" x14ac:dyDescent="0.3">
      <c r="A156" s="376" t="s">
        <v>86</v>
      </c>
      <c r="B156" s="376"/>
      <c r="C156" s="222" t="s">
        <v>144</v>
      </c>
      <c r="D156" s="222" t="s">
        <v>144</v>
      </c>
      <c r="E156" s="222" t="s">
        <v>144</v>
      </c>
      <c r="F156" s="222" t="s">
        <v>144</v>
      </c>
      <c r="G156" s="222" t="s">
        <v>144</v>
      </c>
      <c r="H156" s="222">
        <f t="shared" ref="H156:I156" si="26">H155</f>
        <v>13377.9</v>
      </c>
      <c r="I156" s="222">
        <f t="shared" si="26"/>
        <v>0</v>
      </c>
      <c r="J156" s="222">
        <f>J155</f>
        <v>130000</v>
      </c>
      <c r="K156" s="222" t="s">
        <v>144</v>
      </c>
      <c r="L156" s="222" t="s">
        <v>144</v>
      </c>
      <c r="M156" s="310">
        <f>J156-'2021'!C114</f>
        <v>0</v>
      </c>
    </row>
    <row r="157" spans="1:13" s="311" customFormat="1" x14ac:dyDescent="0.3">
      <c r="A157" s="375" t="s">
        <v>193</v>
      </c>
      <c r="B157" s="375"/>
      <c r="C157" s="375"/>
      <c r="D157" s="375"/>
      <c r="E157" s="375"/>
      <c r="F157" s="375"/>
      <c r="G157" s="375"/>
      <c r="H157" s="375"/>
      <c r="I157" s="375"/>
      <c r="J157" s="375"/>
      <c r="K157" s="375"/>
      <c r="L157" s="346"/>
    </row>
    <row r="158" spans="1:13" x14ac:dyDescent="0.3">
      <c r="A158" s="382" t="s">
        <v>191</v>
      </c>
      <c r="B158" s="382"/>
      <c r="C158" s="168"/>
      <c r="D158" s="163"/>
      <c r="E158" s="163"/>
      <c r="F158" s="160"/>
      <c r="G158" s="163"/>
      <c r="H158" s="160"/>
      <c r="I158" s="168"/>
      <c r="J158" s="299"/>
      <c r="K158" s="168"/>
      <c r="L158" s="302"/>
    </row>
    <row r="159" spans="1:13" x14ac:dyDescent="0.3">
      <c r="A159" s="295">
        <f>A155+1</f>
        <v>73</v>
      </c>
      <c r="B159" s="175" t="s">
        <v>192</v>
      </c>
      <c r="C159" s="298">
        <v>1990</v>
      </c>
      <c r="D159" s="163"/>
      <c r="E159" s="163"/>
      <c r="F159" s="160">
        <v>5</v>
      </c>
      <c r="G159" s="302"/>
      <c r="H159" s="163">
        <v>7373.95</v>
      </c>
      <c r="I159" s="160">
        <v>324</v>
      </c>
      <c r="J159" s="168">
        <f>SUMIF('2020'!B:B,B159,'2020'!C:C)+SUMIF('2021'!B:B,B159,'2021'!C:C)+SUMIF('2022'!B:B,B159,'2022'!C:C)</f>
        <v>1493606.71</v>
      </c>
      <c r="K159" s="299">
        <v>44925</v>
      </c>
      <c r="L159" s="168" t="s">
        <v>152</v>
      </c>
    </row>
    <row r="160" spans="1:13" x14ac:dyDescent="0.3">
      <c r="A160" s="374" t="s">
        <v>35</v>
      </c>
      <c r="B160" s="374"/>
      <c r="C160" s="168" t="s">
        <v>144</v>
      </c>
      <c r="D160" s="168" t="s">
        <v>144</v>
      </c>
      <c r="E160" s="168" t="s">
        <v>144</v>
      </c>
      <c r="F160" s="168" t="s">
        <v>144</v>
      </c>
      <c r="G160" s="168" t="s">
        <v>144</v>
      </c>
      <c r="H160" s="168">
        <f t="shared" ref="H160:J160" si="27">SUM(H158:H159)</f>
        <v>7373.95</v>
      </c>
      <c r="I160" s="168">
        <f t="shared" si="27"/>
        <v>324</v>
      </c>
      <c r="J160" s="168">
        <f t="shared" si="27"/>
        <v>1493606.71</v>
      </c>
      <c r="K160" s="168" t="s">
        <v>144</v>
      </c>
      <c r="L160" s="168" t="s">
        <v>144</v>
      </c>
      <c r="M160" s="350" t="e">
        <f>#REF!-'2020'!C33</f>
        <v>#REF!</v>
      </c>
    </row>
    <row r="161" spans="1:13" x14ac:dyDescent="0.3">
      <c r="A161" s="353"/>
      <c r="B161" s="354" t="s">
        <v>87</v>
      </c>
      <c r="C161" s="222" t="s">
        <v>144</v>
      </c>
      <c r="D161" s="222" t="s">
        <v>144</v>
      </c>
      <c r="E161" s="222" t="s">
        <v>144</v>
      </c>
      <c r="F161" s="222" t="s">
        <v>144</v>
      </c>
      <c r="G161" s="222" t="s">
        <v>144</v>
      </c>
      <c r="H161" s="222">
        <f>H156+H152+H98+H87+H70+H50+H26+H160+H146+H140+H74+H118+H34</f>
        <v>285261.83</v>
      </c>
      <c r="I161" s="222">
        <f>I156+I152+I98+I87+I70+I50+I26+I160+I146+I140+I74+I118+I34</f>
        <v>9674</v>
      </c>
      <c r="J161" s="222">
        <f>J156+J152+J98+J87+J70+J50+J26+J160+J146+J140+J74+J118+J34</f>
        <v>89523765.109999999</v>
      </c>
      <c r="K161" s="222" t="s">
        <v>144</v>
      </c>
      <c r="L161" s="222" t="s">
        <v>144</v>
      </c>
      <c r="M161" s="350">
        <f>J161-'2020'!C34-'2021'!C115-'2022'!C46</f>
        <v>0</v>
      </c>
    </row>
    <row r="162" spans="1:13" x14ac:dyDescent="0.3">
      <c r="A162" s="353"/>
      <c r="B162" s="355" t="s">
        <v>139</v>
      </c>
      <c r="C162" s="222" t="s">
        <v>144</v>
      </c>
      <c r="D162" s="222" t="s">
        <v>144</v>
      </c>
      <c r="E162" s="222" t="s">
        <v>144</v>
      </c>
      <c r="F162" s="222" t="s">
        <v>144</v>
      </c>
      <c r="G162" s="222" t="s">
        <v>144</v>
      </c>
      <c r="H162" s="309"/>
      <c r="I162" s="356"/>
      <c r="J162" s="309">
        <f>'2020'!C35+'2021'!C116+'2022'!C47</f>
        <v>858963.31620800006</v>
      </c>
      <c r="K162" s="222" t="s">
        <v>144</v>
      </c>
      <c r="L162" s="222" t="s">
        <v>144</v>
      </c>
    </row>
    <row r="163" spans="1:13" ht="31.2" x14ac:dyDescent="0.3">
      <c r="A163" s="353"/>
      <c r="B163" s="357" t="s">
        <v>140</v>
      </c>
      <c r="C163" s="222" t="s">
        <v>144</v>
      </c>
      <c r="D163" s="222" t="s">
        <v>144</v>
      </c>
      <c r="E163" s="222" t="s">
        <v>144</v>
      </c>
      <c r="F163" s="222" t="s">
        <v>144</v>
      </c>
      <c r="G163" s="222" t="s">
        <v>144</v>
      </c>
      <c r="H163" s="309"/>
      <c r="I163" s="356"/>
      <c r="J163" s="309">
        <f>J161+J162</f>
        <v>90382728.426208004</v>
      </c>
      <c r="K163" s="222" t="s">
        <v>144</v>
      </c>
      <c r="L163" s="222" t="s">
        <v>144</v>
      </c>
      <c r="M163" s="350">
        <f>J163-'2020'!C36-'2021'!C117-'2022'!C48</f>
        <v>0</v>
      </c>
    </row>
    <row r="164" spans="1:13" x14ac:dyDescent="0.3">
      <c r="J164" s="288">
        <f>J163-'2020'!C36-'2021'!C117-'2022'!C48</f>
        <v>0</v>
      </c>
    </row>
  </sheetData>
  <protectedRanges>
    <protectedRange password="CC6F" sqref="I60 I65:I68" name="Диапазон2_9_1"/>
    <protectedRange password="CC6F" sqref="I53" name="Диапазон2_9_10_1"/>
    <protectedRange password="CC6F" sqref="I54" name="Диапазон2_9_11_1"/>
    <protectedRange password="CC6F" sqref="I57" name="Диапазон2_9_38_1"/>
    <protectedRange password="CC6F" sqref="I58" name="Диапазон2_9_95_1"/>
    <protectedRange password="CC6F" sqref="I55" name="Диапазон2_9_29_1"/>
    <protectedRange password="CC6F" sqref="I56" name="Диапазон2_9_37_1"/>
    <protectedRange password="CC6F" sqref="I59" name="Диапазон2_9_1_1"/>
    <protectedRange password="CC6F" sqref="I61" name="Диапазон2_9_1_2"/>
    <protectedRange password="CC6F" sqref="I62" name="Диапазон2_9_1_3"/>
    <protectedRange password="CC6F" sqref="I64" name="Диапазон2_9_1_4"/>
    <protectedRange password="CC6F" sqref="I63" name="Диапазон2_9_1_5"/>
  </protectedRanges>
  <autoFilter ref="A15:XEX163"/>
  <mergeCells count="66">
    <mergeCell ref="A131:B131"/>
    <mergeCell ref="A137:B137"/>
    <mergeCell ref="A117:B117"/>
    <mergeCell ref="A136:B136"/>
    <mergeCell ref="A103:B103"/>
    <mergeCell ref="A108:B108"/>
    <mergeCell ref="A118:B118"/>
    <mergeCell ref="A109:B109"/>
    <mergeCell ref="A129:B129"/>
    <mergeCell ref="A152:B152"/>
    <mergeCell ref="A147:L147"/>
    <mergeCell ref="A98:B98"/>
    <mergeCell ref="A95:B95"/>
    <mergeCell ref="A97:B97"/>
    <mergeCell ref="A119:K119"/>
    <mergeCell ref="A120:B120"/>
    <mergeCell ref="A122:B122"/>
    <mergeCell ref="A123:B123"/>
    <mergeCell ref="A125:B125"/>
    <mergeCell ref="A126:B126"/>
    <mergeCell ref="A132:B132"/>
    <mergeCell ref="A128:B128"/>
    <mergeCell ref="B99:J99"/>
    <mergeCell ref="A100:B100"/>
    <mergeCell ref="A102:B102"/>
    <mergeCell ref="C11:D11"/>
    <mergeCell ref="E11:E14"/>
    <mergeCell ref="A51:L51"/>
    <mergeCell ref="K11:K14"/>
    <mergeCell ref="L11:L14"/>
    <mergeCell ref="C12:C14"/>
    <mergeCell ref="D12:D14"/>
    <mergeCell ref="A35:L35"/>
    <mergeCell ref="A16:L16"/>
    <mergeCell ref="A9:L9"/>
    <mergeCell ref="A10:L10"/>
    <mergeCell ref="A52:B52"/>
    <mergeCell ref="A76:L76"/>
    <mergeCell ref="A77:B77"/>
    <mergeCell ref="F11:F14"/>
    <mergeCell ref="G11:G14"/>
    <mergeCell ref="H11:H13"/>
    <mergeCell ref="I11:I13"/>
    <mergeCell ref="A70:B70"/>
    <mergeCell ref="A71:K71"/>
    <mergeCell ref="A72:B72"/>
    <mergeCell ref="J11:J13"/>
    <mergeCell ref="A75:B75"/>
    <mergeCell ref="A11:A13"/>
    <mergeCell ref="B11:B13"/>
    <mergeCell ref="A160:B160"/>
    <mergeCell ref="A157:K157"/>
    <mergeCell ref="A156:B156"/>
    <mergeCell ref="A154:B154"/>
    <mergeCell ref="A27:L27"/>
    <mergeCell ref="A141:K141"/>
    <mergeCell ref="A146:B146"/>
    <mergeCell ref="A139:B139"/>
    <mergeCell ref="A153:L153"/>
    <mergeCell ref="A158:B158"/>
    <mergeCell ref="A89:B89"/>
    <mergeCell ref="A88:L88"/>
    <mergeCell ref="A87:B87"/>
    <mergeCell ref="A94:B94"/>
    <mergeCell ref="A148:B148"/>
    <mergeCell ref="A151:B151"/>
  </mergeCells>
  <conditionalFormatting sqref="B53:B54 B57:B58 B60 B65:B69">
    <cfRule type="duplicateValues" dxfId="16" priority="1665"/>
  </conditionalFormatting>
  <conditionalFormatting sqref="A70">
    <cfRule type="duplicateValues" dxfId="15" priority="1666"/>
  </conditionalFormatting>
  <conditionalFormatting sqref="B155">
    <cfRule type="duplicateValues" dxfId="14" priority="1667"/>
  </conditionalFormatting>
  <conditionalFormatting sqref="B55">
    <cfRule type="duplicateValues" dxfId="13" priority="12"/>
  </conditionalFormatting>
  <conditionalFormatting sqref="B56">
    <cfRule type="duplicateValues" dxfId="12" priority="11"/>
  </conditionalFormatting>
  <conditionalFormatting sqref="B59">
    <cfRule type="duplicateValues" dxfId="11" priority="10"/>
  </conditionalFormatting>
  <conditionalFormatting sqref="B61">
    <cfRule type="duplicateValues" dxfId="10" priority="9"/>
  </conditionalFormatting>
  <conditionalFormatting sqref="B62">
    <cfRule type="duplicateValues" dxfId="9" priority="8"/>
  </conditionalFormatting>
  <conditionalFormatting sqref="B64">
    <cfRule type="duplicateValues" dxfId="8" priority="7"/>
  </conditionalFormatting>
  <conditionalFormatting sqref="B74">
    <cfRule type="duplicateValues" dxfId="7" priority="5"/>
  </conditionalFormatting>
  <conditionalFormatting sqref="B73">
    <cfRule type="duplicateValues" dxfId="6" priority="1668"/>
  </conditionalFormatting>
  <conditionalFormatting sqref="B159">
    <cfRule type="duplicateValues" dxfId="5" priority="3"/>
  </conditionalFormatting>
  <conditionalFormatting sqref="B63">
    <cfRule type="duplicateValues" dxfId="4" priority="2"/>
  </conditionalFormatting>
  <conditionalFormatting sqref="A75">
    <cfRule type="duplicateValues" dxfId="3" priority="1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view="pageBreakPreview" zoomScale="60" zoomScaleNormal="70" workbookViewId="0">
      <pane xSplit="3" ySplit="9" topLeftCell="H10" activePane="bottomRight" state="frozen"/>
      <selection pane="topRight" activeCell="D1" sqref="D1"/>
      <selection pane="bottomLeft" activeCell="A11" sqref="A11"/>
      <selection pane="bottomRight" activeCell="C16" sqref="C16"/>
    </sheetView>
  </sheetViews>
  <sheetFormatPr defaultColWidth="9.109375" defaultRowHeight="15.6" x14ac:dyDescent="0.3"/>
  <cols>
    <col min="1" max="1" width="8.33203125" style="25" customWidth="1"/>
    <col min="2" max="2" width="54.33203125" style="28" customWidth="1"/>
    <col min="3" max="3" width="19.88671875" style="3" customWidth="1"/>
    <col min="4" max="4" width="18" style="3" customWidth="1"/>
    <col min="5" max="5" width="18.44140625" style="3" customWidth="1"/>
    <col min="6" max="6" width="19.109375" style="3" bestFit="1" customWidth="1"/>
    <col min="7" max="7" width="16.88671875" style="3" customWidth="1"/>
    <col min="8" max="8" width="16.5546875" style="3" customWidth="1"/>
    <col min="9" max="9" width="18.6640625" style="3" customWidth="1"/>
    <col min="10" max="10" width="12.5546875" style="2" customWidth="1"/>
    <col min="11" max="11" width="15.6640625" style="3" customWidth="1"/>
    <col min="12" max="12" width="13.6640625" style="3" customWidth="1"/>
    <col min="13" max="13" width="13" style="3" bestFit="1" customWidth="1"/>
    <col min="14" max="14" width="18.88671875" style="3" customWidth="1"/>
    <col min="15" max="15" width="13" style="3" bestFit="1" customWidth="1"/>
    <col min="16" max="16" width="18" style="3" customWidth="1"/>
    <col min="17" max="17" width="11.88671875" style="3" customWidth="1"/>
    <col min="18" max="18" width="16.88671875" style="3" customWidth="1"/>
    <col min="19" max="19" width="15.88671875" style="3" customWidth="1"/>
    <col min="20" max="20" width="10.6640625" style="3" customWidth="1"/>
    <col min="21" max="21" width="12.88671875" style="3" customWidth="1"/>
    <col min="22" max="22" width="18.44140625" style="3" customWidth="1"/>
    <col min="23" max="23" width="15.5546875" style="3" customWidth="1"/>
    <col min="24" max="25" width="18.5546875" style="3" hidden="1" customWidth="1"/>
    <col min="26" max="26" width="12.44140625" style="26" hidden="1" customWidth="1"/>
    <col min="27" max="27" width="13.44140625" style="26" hidden="1" customWidth="1"/>
    <col min="28" max="28" width="12.6640625" style="26" hidden="1" customWidth="1"/>
    <col min="29" max="29" width="14.44140625" style="26" hidden="1" customWidth="1"/>
    <col min="30" max="32" width="12.44140625" style="26" hidden="1" customWidth="1"/>
    <col min="33" max="33" width="13.109375" style="26" hidden="1" customWidth="1"/>
    <col min="34" max="37" width="12.44140625" style="26" hidden="1" customWidth="1"/>
    <col min="38" max="38" width="10.6640625" style="26" hidden="1" customWidth="1"/>
    <col min="39" max="41" width="9.109375" style="26" hidden="1" customWidth="1"/>
    <col min="42" max="42" width="9.33203125" style="26" customWidth="1"/>
    <col min="43" max="16384" width="9.109375" style="26"/>
  </cols>
  <sheetData>
    <row r="1" spans="1:36" x14ac:dyDescent="0.3">
      <c r="A1" s="421" t="s">
        <v>195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118"/>
      <c r="Y1" s="118"/>
      <c r="Z1" s="118"/>
      <c r="AA1" s="118"/>
      <c r="AB1" s="118"/>
      <c r="AC1" s="118"/>
      <c r="AD1" s="13"/>
      <c r="AE1" s="13"/>
      <c r="AF1" s="13"/>
      <c r="AG1" s="13"/>
      <c r="AH1" s="13"/>
      <c r="AI1" s="13"/>
    </row>
    <row r="2" spans="1:36" ht="0.75" customHeight="1" x14ac:dyDescent="0.3">
      <c r="A2" s="8"/>
      <c r="B2" s="23"/>
      <c r="C2" s="116"/>
      <c r="D2" s="60"/>
      <c r="E2" s="116"/>
      <c r="F2" s="116"/>
      <c r="G2" s="116"/>
      <c r="H2" s="116"/>
      <c r="I2" s="116"/>
      <c r="K2" s="60"/>
      <c r="L2" s="60"/>
      <c r="M2" s="60"/>
      <c r="N2" s="116"/>
      <c r="O2" s="60"/>
      <c r="P2" s="116"/>
      <c r="Q2" s="60"/>
      <c r="R2" s="116"/>
      <c r="S2" s="116"/>
      <c r="T2" s="60"/>
      <c r="U2" s="116"/>
      <c r="V2" s="60"/>
      <c r="W2" s="116"/>
      <c r="X2" s="116"/>
      <c r="Y2" s="116"/>
      <c r="Z2" s="116"/>
      <c r="AA2" s="116"/>
      <c r="AB2" s="9"/>
      <c r="AC2" s="13"/>
      <c r="AD2" s="13"/>
      <c r="AE2" s="13"/>
      <c r="AF2" s="403" t="s">
        <v>0</v>
      </c>
      <c r="AG2" s="403"/>
      <c r="AH2" s="403"/>
      <c r="AI2" s="13"/>
    </row>
    <row r="3" spans="1:36" ht="11.25" customHeight="1" x14ac:dyDescent="0.3">
      <c r="A3" s="428" t="s">
        <v>1</v>
      </c>
      <c r="B3" s="425" t="s">
        <v>2</v>
      </c>
      <c r="C3" s="404" t="s">
        <v>3</v>
      </c>
      <c r="D3" s="423" t="s">
        <v>4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52"/>
      <c r="Y3" s="52"/>
      <c r="Z3" s="66"/>
      <c r="AA3" s="38"/>
      <c r="AB3" s="9"/>
      <c r="AC3" s="13"/>
      <c r="AD3" s="13"/>
      <c r="AE3" s="13"/>
      <c r="AF3" s="13"/>
      <c r="AG3" s="13"/>
      <c r="AH3" s="13"/>
      <c r="AI3" s="13"/>
    </row>
    <row r="4" spans="1:36" ht="46.5" customHeight="1" x14ac:dyDescent="0.3">
      <c r="A4" s="429"/>
      <c r="B4" s="426"/>
      <c r="C4" s="405"/>
      <c r="D4" s="406" t="s">
        <v>5</v>
      </c>
      <c r="E4" s="407"/>
      <c r="F4" s="407"/>
      <c r="G4" s="407"/>
      <c r="H4" s="407"/>
      <c r="I4" s="408"/>
      <c r="J4" s="406" t="s">
        <v>6</v>
      </c>
      <c r="K4" s="407"/>
      <c r="L4" s="408"/>
      <c r="M4" s="409" t="s">
        <v>7</v>
      </c>
      <c r="N4" s="410"/>
      <c r="O4" s="409" t="s">
        <v>8</v>
      </c>
      <c r="P4" s="410"/>
      <c r="Q4" s="409" t="s">
        <v>9</v>
      </c>
      <c r="R4" s="410"/>
      <c r="S4" s="434" t="s">
        <v>24</v>
      </c>
      <c r="T4" s="409" t="s">
        <v>10</v>
      </c>
      <c r="U4" s="410"/>
      <c r="V4" s="415" t="s">
        <v>11</v>
      </c>
      <c r="W4" s="404" t="s">
        <v>12</v>
      </c>
      <c r="X4" s="120"/>
      <c r="Y4" s="120"/>
      <c r="Z4" s="124"/>
      <c r="AA4" s="124"/>
      <c r="AB4" s="124"/>
      <c r="AC4" s="124"/>
      <c r="AD4" s="124"/>
      <c r="AE4" s="124"/>
      <c r="AF4" s="418" t="s">
        <v>13</v>
      </c>
      <c r="AG4" s="418" t="s">
        <v>14</v>
      </c>
      <c r="AH4" s="418" t="s">
        <v>15</v>
      </c>
      <c r="AI4" s="13"/>
    </row>
    <row r="5" spans="1:36" ht="45" customHeight="1" x14ac:dyDescent="0.3">
      <c r="A5" s="429"/>
      <c r="B5" s="426"/>
      <c r="C5" s="405"/>
      <c r="D5" s="415" t="s">
        <v>16</v>
      </c>
      <c r="E5" s="404" t="s">
        <v>17</v>
      </c>
      <c r="F5" s="404" t="s">
        <v>18</v>
      </c>
      <c r="G5" s="404" t="s">
        <v>19</v>
      </c>
      <c r="H5" s="404" t="s">
        <v>20</v>
      </c>
      <c r="I5" s="404" t="s">
        <v>21</v>
      </c>
      <c r="J5" s="431"/>
      <c r="K5" s="415" t="s">
        <v>22</v>
      </c>
      <c r="L5" s="415" t="s">
        <v>23</v>
      </c>
      <c r="M5" s="411"/>
      <c r="N5" s="412"/>
      <c r="O5" s="411"/>
      <c r="P5" s="412"/>
      <c r="Q5" s="411"/>
      <c r="R5" s="412"/>
      <c r="S5" s="405"/>
      <c r="T5" s="411"/>
      <c r="U5" s="412"/>
      <c r="V5" s="416"/>
      <c r="W5" s="405"/>
      <c r="X5" s="117"/>
      <c r="Y5" s="117"/>
      <c r="Z5" s="124"/>
      <c r="AA5" s="124"/>
      <c r="AB5" s="124"/>
      <c r="AC5" s="124"/>
      <c r="AD5" s="124"/>
      <c r="AE5" s="124"/>
      <c r="AF5" s="418"/>
      <c r="AG5" s="418"/>
      <c r="AH5" s="418"/>
      <c r="AI5" s="13"/>
    </row>
    <row r="6" spans="1:36" x14ac:dyDescent="0.3">
      <c r="A6" s="429"/>
      <c r="B6" s="426"/>
      <c r="C6" s="405"/>
      <c r="D6" s="416"/>
      <c r="E6" s="405"/>
      <c r="F6" s="405"/>
      <c r="G6" s="405"/>
      <c r="H6" s="405"/>
      <c r="I6" s="405"/>
      <c r="J6" s="432"/>
      <c r="K6" s="416"/>
      <c r="L6" s="416"/>
      <c r="M6" s="411"/>
      <c r="N6" s="412"/>
      <c r="O6" s="411"/>
      <c r="P6" s="412"/>
      <c r="Q6" s="411"/>
      <c r="R6" s="412"/>
      <c r="S6" s="405"/>
      <c r="T6" s="411"/>
      <c r="U6" s="412"/>
      <c r="V6" s="416"/>
      <c r="W6" s="405"/>
      <c r="X6" s="117"/>
      <c r="Y6" s="117"/>
      <c r="Z6" s="124" t="s">
        <v>25</v>
      </c>
      <c r="AA6" s="124" t="s">
        <v>26</v>
      </c>
      <c r="AB6" s="124" t="s">
        <v>56</v>
      </c>
      <c r="AC6" s="124" t="s">
        <v>28</v>
      </c>
      <c r="AD6" s="124" t="s">
        <v>29</v>
      </c>
      <c r="AE6" s="124"/>
      <c r="AF6" s="418"/>
      <c r="AG6" s="418"/>
      <c r="AH6" s="418"/>
      <c r="AI6" s="13"/>
    </row>
    <row r="7" spans="1:36" ht="15.75" customHeight="1" x14ac:dyDescent="0.3">
      <c r="A7" s="430"/>
      <c r="B7" s="427"/>
      <c r="C7" s="119"/>
      <c r="D7" s="417"/>
      <c r="E7" s="422"/>
      <c r="F7" s="422"/>
      <c r="G7" s="422"/>
      <c r="H7" s="422"/>
      <c r="I7" s="422"/>
      <c r="J7" s="433"/>
      <c r="K7" s="417"/>
      <c r="L7" s="417"/>
      <c r="M7" s="413"/>
      <c r="N7" s="414"/>
      <c r="O7" s="413"/>
      <c r="P7" s="414"/>
      <c r="Q7" s="413"/>
      <c r="R7" s="414"/>
      <c r="S7" s="422"/>
      <c r="T7" s="413"/>
      <c r="U7" s="414"/>
      <c r="V7" s="417"/>
      <c r="W7" s="422"/>
      <c r="X7" s="119"/>
      <c r="Y7" s="119"/>
      <c r="Z7" s="124"/>
      <c r="AA7" s="124"/>
      <c r="AB7" s="124"/>
      <c r="AC7" s="124"/>
      <c r="AD7" s="124"/>
      <c r="AE7" s="124"/>
      <c r="AF7" s="418"/>
      <c r="AG7" s="418"/>
      <c r="AH7" s="418"/>
      <c r="AI7" s="13"/>
    </row>
    <row r="8" spans="1:36" x14ac:dyDescent="0.3">
      <c r="A8" s="40"/>
      <c r="B8" s="10"/>
      <c r="C8" s="124" t="s">
        <v>30</v>
      </c>
      <c r="D8" s="57" t="s">
        <v>30</v>
      </c>
      <c r="E8" s="124" t="s">
        <v>30</v>
      </c>
      <c r="F8" s="124" t="s">
        <v>30</v>
      </c>
      <c r="G8" s="124" t="s">
        <v>30</v>
      </c>
      <c r="H8" s="124" t="s">
        <v>30</v>
      </c>
      <c r="I8" s="124" t="s">
        <v>30</v>
      </c>
      <c r="J8" s="11" t="s">
        <v>31</v>
      </c>
      <c r="K8" s="57" t="s">
        <v>30</v>
      </c>
      <c r="L8" s="57" t="s">
        <v>30</v>
      </c>
      <c r="M8" s="57" t="s">
        <v>32</v>
      </c>
      <c r="N8" s="124" t="s">
        <v>30</v>
      </c>
      <c r="O8" s="57" t="s">
        <v>32</v>
      </c>
      <c r="P8" s="124" t="s">
        <v>30</v>
      </c>
      <c r="Q8" s="57" t="s">
        <v>32</v>
      </c>
      <c r="R8" s="124" t="s">
        <v>30</v>
      </c>
      <c r="S8" s="124" t="s">
        <v>30</v>
      </c>
      <c r="T8" s="57" t="s">
        <v>33</v>
      </c>
      <c r="U8" s="124" t="s">
        <v>30</v>
      </c>
      <c r="V8" s="57" t="s">
        <v>30</v>
      </c>
      <c r="W8" s="124" t="s">
        <v>30</v>
      </c>
      <c r="X8" s="124"/>
      <c r="Y8" s="124"/>
      <c r="Z8" s="124"/>
      <c r="AA8" s="124"/>
      <c r="AB8" s="124"/>
      <c r="AC8" s="124"/>
      <c r="AD8" s="124"/>
      <c r="AE8" s="124"/>
      <c r="AF8" s="418"/>
      <c r="AG8" s="418"/>
      <c r="AH8" s="418"/>
      <c r="AI8" s="3"/>
    </row>
    <row r="9" spans="1:36" ht="15.75" x14ac:dyDescent="0.25">
      <c r="A9" s="12">
        <v>1</v>
      </c>
      <c r="B9" s="11">
        <v>2</v>
      </c>
      <c r="C9" s="12">
        <v>3</v>
      </c>
      <c r="D9" s="12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12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  <c r="V9" s="35">
        <v>22</v>
      </c>
      <c r="W9" s="11">
        <v>23</v>
      </c>
      <c r="X9" s="42"/>
      <c r="Y9" s="42"/>
      <c r="Z9" s="41"/>
      <c r="AA9" s="42"/>
      <c r="AB9" s="42"/>
      <c r="AC9" s="43"/>
      <c r="AD9" s="2"/>
      <c r="AE9" s="2"/>
      <c r="AF9" s="2"/>
      <c r="AG9" s="2"/>
      <c r="AH9" s="2"/>
      <c r="AI9" s="2"/>
    </row>
    <row r="10" spans="1:36" x14ac:dyDescent="0.3">
      <c r="A10" s="440" t="s">
        <v>208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2"/>
      <c r="X10" s="42"/>
      <c r="Y10" s="42"/>
      <c r="Z10" s="41"/>
      <c r="AA10" s="42"/>
      <c r="AB10" s="42"/>
      <c r="AC10" s="43"/>
      <c r="AD10" s="2"/>
      <c r="AE10" s="2"/>
      <c r="AF10" s="2"/>
      <c r="AG10" s="2"/>
      <c r="AH10" s="2"/>
      <c r="AI10" s="2"/>
    </row>
    <row r="11" spans="1:36" x14ac:dyDescent="0.3">
      <c r="A11" s="146" t="s">
        <v>250</v>
      </c>
      <c r="B11" s="142"/>
      <c r="C11" s="143"/>
      <c r="D11" s="143"/>
      <c r="E11" s="144"/>
      <c r="F11" s="144"/>
      <c r="G11" s="144"/>
      <c r="H11" s="144"/>
      <c r="I11" s="144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42"/>
      <c r="Y11" s="42"/>
      <c r="Z11" s="41"/>
      <c r="AA11" s="42"/>
      <c r="AB11" s="42"/>
      <c r="AC11" s="43"/>
      <c r="AD11" s="2"/>
      <c r="AE11" s="2"/>
      <c r="AF11" s="2"/>
      <c r="AG11" s="2"/>
      <c r="AH11" s="2"/>
      <c r="AI11" s="2"/>
    </row>
    <row r="12" spans="1:36" x14ac:dyDescent="0.3">
      <c r="A12" s="88"/>
      <c r="B12" s="147" t="s">
        <v>244</v>
      </c>
      <c r="C12" s="89">
        <f>D12+K12+L12+N12+P12+R12+S12+U12+V12+W12</f>
        <v>7753272.9199999999</v>
      </c>
      <c r="D12" s="88"/>
      <c r="E12" s="96"/>
      <c r="F12" s="96"/>
      <c r="G12" s="96"/>
      <c r="H12" s="96"/>
      <c r="I12" s="96"/>
      <c r="J12" s="88">
        <v>2</v>
      </c>
      <c r="K12" s="89">
        <v>7346346</v>
      </c>
      <c r="L12" s="89">
        <v>146926.92000000001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59">
        <v>260000</v>
      </c>
      <c r="X12" s="42"/>
      <c r="Y12" s="42"/>
      <c r="Z12" s="41"/>
      <c r="AA12" s="42"/>
      <c r="AB12" s="42"/>
      <c r="AC12" s="43"/>
      <c r="AD12" s="2"/>
      <c r="AE12" s="2"/>
      <c r="AF12" s="2"/>
      <c r="AG12" s="2"/>
      <c r="AH12" s="2"/>
      <c r="AI12" s="2"/>
    </row>
    <row r="13" spans="1:36" x14ac:dyDescent="0.3">
      <c r="A13" s="149" t="s">
        <v>35</v>
      </c>
      <c r="B13" s="148"/>
      <c r="C13" s="89">
        <f t="shared" ref="C13:W13" si="0">SUM(C12:C12)</f>
        <v>7753272.9199999999</v>
      </c>
      <c r="D13" s="89">
        <f t="shared" si="0"/>
        <v>0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8">
        <f t="shared" si="0"/>
        <v>2</v>
      </c>
      <c r="K13" s="89">
        <f t="shared" si="0"/>
        <v>7346346</v>
      </c>
      <c r="L13" s="89">
        <f t="shared" si="0"/>
        <v>146926.92000000001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0</v>
      </c>
      <c r="R13" s="89">
        <f t="shared" si="0"/>
        <v>0</v>
      </c>
      <c r="S13" s="89">
        <f t="shared" si="0"/>
        <v>0</v>
      </c>
      <c r="T13" s="89">
        <f t="shared" si="0"/>
        <v>0</v>
      </c>
      <c r="U13" s="89">
        <f t="shared" si="0"/>
        <v>0</v>
      </c>
      <c r="V13" s="89">
        <f t="shared" si="0"/>
        <v>0</v>
      </c>
      <c r="W13" s="89">
        <f t="shared" si="0"/>
        <v>260000</v>
      </c>
      <c r="X13" s="42"/>
      <c r="Y13" s="42"/>
      <c r="Z13" s="41"/>
      <c r="AA13" s="42"/>
      <c r="AB13" s="42"/>
      <c r="AC13" s="43"/>
      <c r="AD13" s="2"/>
      <c r="AE13" s="2"/>
      <c r="AF13" s="2"/>
      <c r="AG13" s="2"/>
      <c r="AH13" s="2"/>
      <c r="AI13" s="2"/>
    </row>
    <row r="14" spans="1:36" s="156" customFormat="1" x14ac:dyDescent="0.3">
      <c r="A14" s="443" t="s">
        <v>210</v>
      </c>
      <c r="B14" s="444"/>
      <c r="C14" s="140">
        <f t="shared" ref="C14:W14" si="1">C13</f>
        <v>7753272.9199999999</v>
      </c>
      <c r="D14" s="140">
        <f t="shared" si="1"/>
        <v>0</v>
      </c>
      <c r="E14" s="140">
        <f t="shared" si="1"/>
        <v>0</v>
      </c>
      <c r="F14" s="140">
        <f t="shared" si="1"/>
        <v>0</v>
      </c>
      <c r="G14" s="140">
        <f t="shared" si="1"/>
        <v>0</v>
      </c>
      <c r="H14" s="140">
        <f t="shared" si="1"/>
        <v>0</v>
      </c>
      <c r="I14" s="140">
        <f t="shared" si="1"/>
        <v>0</v>
      </c>
      <c r="J14" s="141">
        <f t="shared" si="1"/>
        <v>2</v>
      </c>
      <c r="K14" s="140">
        <f t="shared" si="1"/>
        <v>7346346</v>
      </c>
      <c r="L14" s="140">
        <f t="shared" si="1"/>
        <v>146926.92000000001</v>
      </c>
      <c r="M14" s="140">
        <f t="shared" si="1"/>
        <v>0</v>
      </c>
      <c r="N14" s="140">
        <f t="shared" si="1"/>
        <v>0</v>
      </c>
      <c r="O14" s="140">
        <f t="shared" si="1"/>
        <v>0</v>
      </c>
      <c r="P14" s="140">
        <f t="shared" si="1"/>
        <v>0</v>
      </c>
      <c r="Q14" s="140">
        <f t="shared" si="1"/>
        <v>0</v>
      </c>
      <c r="R14" s="140">
        <f t="shared" si="1"/>
        <v>0</v>
      </c>
      <c r="S14" s="140">
        <f t="shared" si="1"/>
        <v>0</v>
      </c>
      <c r="T14" s="140">
        <f t="shared" si="1"/>
        <v>0</v>
      </c>
      <c r="U14" s="140">
        <f t="shared" si="1"/>
        <v>0</v>
      </c>
      <c r="V14" s="140">
        <f t="shared" si="1"/>
        <v>0</v>
      </c>
      <c r="W14" s="140">
        <f t="shared" si="1"/>
        <v>260000</v>
      </c>
      <c r="X14" s="150"/>
      <c r="Y14" s="151"/>
      <c r="Z14" s="151"/>
      <c r="AA14" s="151"/>
      <c r="AB14" s="151"/>
      <c r="AC14" s="139"/>
      <c r="AD14" s="139"/>
      <c r="AE14" s="152"/>
      <c r="AF14" s="153"/>
      <c r="AG14" s="154"/>
      <c r="AH14" s="155"/>
      <c r="AI14" s="155"/>
    </row>
    <row r="15" spans="1:36" ht="15" customHeight="1" x14ac:dyDescent="0.3">
      <c r="A15" s="400" t="s">
        <v>162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2"/>
      <c r="X15" s="66">
        <f t="shared" ref="X15" si="2">C15-D15-K15-L15-N15-P15-R15-S15-U15-V15-W15</f>
        <v>0</v>
      </c>
      <c r="Y15" s="115"/>
      <c r="Z15" s="97"/>
      <c r="AA15" s="98"/>
      <c r="AB15" s="98"/>
      <c r="AC15" s="98"/>
      <c r="AD15" s="98"/>
      <c r="AE15" s="98"/>
      <c r="AF15" s="98"/>
      <c r="AG15" s="94"/>
      <c r="AH15" s="95"/>
      <c r="AI15" s="95"/>
      <c r="AJ15" s="95"/>
    </row>
    <row r="16" spans="1:36" ht="15" customHeight="1" x14ac:dyDescent="0.3">
      <c r="A16" s="92" t="s">
        <v>163</v>
      </c>
      <c r="B16" s="91"/>
      <c r="C16" s="89"/>
      <c r="D16" s="89"/>
      <c r="E16" s="89"/>
      <c r="F16" s="89"/>
      <c r="G16" s="89"/>
      <c r="H16" s="89"/>
      <c r="I16" s="89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66">
        <f t="shared" ref="X16:X24" si="3">C16-D16-K16-L16-N16-P16-R16-S16-U16-V16-W16</f>
        <v>0</v>
      </c>
      <c r="Y16" s="93"/>
      <c r="Z16" s="93"/>
      <c r="AA16" s="89"/>
      <c r="AB16" s="89"/>
      <c r="AC16" s="89"/>
      <c r="AD16" s="89"/>
      <c r="AE16" s="89"/>
      <c r="AF16" s="89"/>
      <c r="AG16" s="94"/>
      <c r="AH16" s="95"/>
      <c r="AI16" s="95"/>
      <c r="AJ16" s="95"/>
    </row>
    <row r="17" spans="1:43" x14ac:dyDescent="0.3">
      <c r="A17" s="90">
        <v>1</v>
      </c>
      <c r="B17" s="91" t="s">
        <v>164</v>
      </c>
      <c r="C17" s="89">
        <f>D17+K17+L17+N17+P17+R17+S17+U17+V17+W17</f>
        <v>81159</v>
      </c>
      <c r="D17" s="89"/>
      <c r="E17" s="89"/>
      <c r="F17" s="89"/>
      <c r="G17" s="89"/>
      <c r="H17" s="89"/>
      <c r="I17" s="89"/>
      <c r="J17" s="88"/>
      <c r="K17" s="89"/>
      <c r="L17" s="89"/>
      <c r="M17" s="89">
        <v>13</v>
      </c>
      <c r="N17" s="89">
        <f>6243*13</f>
        <v>81159</v>
      </c>
      <c r="O17" s="89"/>
      <c r="P17" s="89"/>
      <c r="Q17" s="89"/>
      <c r="R17" s="89"/>
      <c r="S17" s="89"/>
      <c r="T17" s="89"/>
      <c r="U17" s="89"/>
      <c r="V17" s="89"/>
      <c r="W17" s="89"/>
      <c r="X17" s="66">
        <f t="shared" si="3"/>
        <v>0</v>
      </c>
      <c r="Y17" s="93"/>
      <c r="Z17" s="93" t="s">
        <v>152</v>
      </c>
      <c r="AA17" s="89"/>
      <c r="AB17" s="89"/>
      <c r="AC17" s="89"/>
      <c r="AD17" s="89"/>
      <c r="AE17" s="89"/>
      <c r="AF17" s="89"/>
      <c r="AG17" s="94"/>
      <c r="AH17" s="95"/>
      <c r="AI17" s="95"/>
      <c r="AJ17" s="95"/>
    </row>
    <row r="18" spans="1:43" x14ac:dyDescent="0.3">
      <c r="A18" s="90"/>
      <c r="B18" s="91" t="s">
        <v>35</v>
      </c>
      <c r="C18" s="89">
        <f t="shared" ref="C18:W18" si="4">SUM(C17:C17)</f>
        <v>81159</v>
      </c>
      <c r="D18" s="89">
        <f t="shared" si="4"/>
        <v>0</v>
      </c>
      <c r="E18" s="89">
        <f t="shared" si="4"/>
        <v>0</v>
      </c>
      <c r="F18" s="89">
        <f t="shared" si="4"/>
        <v>0</v>
      </c>
      <c r="G18" s="89">
        <f t="shared" si="4"/>
        <v>0</v>
      </c>
      <c r="H18" s="89">
        <f t="shared" si="4"/>
        <v>0</v>
      </c>
      <c r="I18" s="89">
        <f t="shared" si="4"/>
        <v>0</v>
      </c>
      <c r="J18" s="88">
        <f t="shared" si="4"/>
        <v>0</v>
      </c>
      <c r="K18" s="89">
        <f t="shared" si="4"/>
        <v>0</v>
      </c>
      <c r="L18" s="89">
        <f t="shared" si="4"/>
        <v>0</v>
      </c>
      <c r="M18" s="89">
        <f t="shared" si="4"/>
        <v>13</v>
      </c>
      <c r="N18" s="89">
        <f t="shared" si="4"/>
        <v>81159</v>
      </c>
      <c r="O18" s="89">
        <f t="shared" si="4"/>
        <v>0</v>
      </c>
      <c r="P18" s="89">
        <f t="shared" si="4"/>
        <v>0</v>
      </c>
      <c r="Q18" s="89">
        <f t="shared" si="4"/>
        <v>0</v>
      </c>
      <c r="R18" s="89">
        <f t="shared" si="4"/>
        <v>0</v>
      </c>
      <c r="S18" s="89">
        <f t="shared" si="4"/>
        <v>0</v>
      </c>
      <c r="T18" s="89">
        <f t="shared" si="4"/>
        <v>0</v>
      </c>
      <c r="U18" s="89">
        <f t="shared" si="4"/>
        <v>0</v>
      </c>
      <c r="V18" s="89">
        <f t="shared" si="4"/>
        <v>0</v>
      </c>
      <c r="W18" s="89">
        <f t="shared" si="4"/>
        <v>0</v>
      </c>
      <c r="X18" s="66">
        <f t="shared" si="3"/>
        <v>0</v>
      </c>
      <c r="Y18" s="93"/>
      <c r="Z18" s="93"/>
      <c r="AA18" s="89"/>
      <c r="AB18" s="89"/>
      <c r="AC18" s="89"/>
      <c r="AD18" s="89"/>
      <c r="AE18" s="89"/>
      <c r="AF18" s="89"/>
      <c r="AG18" s="94"/>
      <c r="AH18" s="95"/>
      <c r="AI18" s="95"/>
      <c r="AJ18" s="95"/>
    </row>
    <row r="19" spans="1:43" x14ac:dyDescent="0.3">
      <c r="A19" s="419" t="s">
        <v>166</v>
      </c>
      <c r="B19" s="420"/>
      <c r="C19" s="121">
        <f>C18</f>
        <v>81159</v>
      </c>
      <c r="D19" s="121">
        <f t="shared" ref="D19:W19" si="5">D18</f>
        <v>0</v>
      </c>
      <c r="E19" s="121">
        <f t="shared" si="5"/>
        <v>0</v>
      </c>
      <c r="F19" s="121">
        <f t="shared" si="5"/>
        <v>0</v>
      </c>
      <c r="G19" s="121">
        <f t="shared" si="5"/>
        <v>0</v>
      </c>
      <c r="H19" s="121">
        <f t="shared" si="5"/>
        <v>0</v>
      </c>
      <c r="I19" s="121">
        <f t="shared" si="5"/>
        <v>0</v>
      </c>
      <c r="J19" s="157">
        <f t="shared" si="5"/>
        <v>0</v>
      </c>
      <c r="K19" s="121">
        <f t="shared" si="5"/>
        <v>0</v>
      </c>
      <c r="L19" s="121">
        <f t="shared" si="5"/>
        <v>0</v>
      </c>
      <c r="M19" s="121">
        <f t="shared" si="5"/>
        <v>13</v>
      </c>
      <c r="N19" s="121">
        <f t="shared" si="5"/>
        <v>81159</v>
      </c>
      <c r="O19" s="121">
        <f t="shared" si="5"/>
        <v>0</v>
      </c>
      <c r="P19" s="121">
        <f t="shared" si="5"/>
        <v>0</v>
      </c>
      <c r="Q19" s="121">
        <f t="shared" si="5"/>
        <v>0</v>
      </c>
      <c r="R19" s="121">
        <f t="shared" si="5"/>
        <v>0</v>
      </c>
      <c r="S19" s="121">
        <f t="shared" si="5"/>
        <v>0</v>
      </c>
      <c r="T19" s="121">
        <f t="shared" si="5"/>
        <v>0</v>
      </c>
      <c r="U19" s="121">
        <f t="shared" si="5"/>
        <v>0</v>
      </c>
      <c r="V19" s="121">
        <f t="shared" si="5"/>
        <v>0</v>
      </c>
      <c r="W19" s="121">
        <f t="shared" si="5"/>
        <v>0</v>
      </c>
      <c r="X19" s="66">
        <f t="shared" si="3"/>
        <v>0</v>
      </c>
      <c r="Y19" s="66"/>
      <c r="Z19" s="116"/>
      <c r="AA19" s="116"/>
      <c r="AB19" s="116"/>
      <c r="AC19" s="116"/>
      <c r="AD19" s="116"/>
      <c r="AE19" s="116"/>
      <c r="AF19" s="116"/>
      <c r="AG19" s="47"/>
      <c r="AH19" s="45"/>
      <c r="AI19" s="45"/>
      <c r="AJ19" s="45"/>
    </row>
    <row r="20" spans="1:43" x14ac:dyDescent="0.3">
      <c r="A20" s="435" t="s">
        <v>173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  <c r="X20" s="66">
        <f t="shared" si="3"/>
        <v>0</v>
      </c>
      <c r="Y20" s="44"/>
      <c r="Z20" s="116"/>
      <c r="AA20" s="116"/>
      <c r="AB20" s="116"/>
      <c r="AC20" s="116"/>
      <c r="AD20" s="116"/>
      <c r="AE20" s="116"/>
      <c r="AF20" s="9"/>
      <c r="AG20" s="13"/>
      <c r="AH20" s="13"/>
      <c r="AI20" s="13"/>
      <c r="AJ20" s="13"/>
    </row>
    <row r="21" spans="1:43" x14ac:dyDescent="0.3">
      <c r="A21" s="123" t="s">
        <v>174</v>
      </c>
      <c r="B21" s="123"/>
      <c r="C21" s="121"/>
      <c r="D21" s="121"/>
      <c r="E21" s="121"/>
      <c r="F21" s="121"/>
      <c r="G21" s="121"/>
      <c r="H21" s="121"/>
      <c r="I21" s="121"/>
      <c r="J21" s="157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66">
        <f t="shared" si="3"/>
        <v>0</v>
      </c>
      <c r="Y21" s="44"/>
      <c r="Z21" s="116"/>
      <c r="AA21" s="116"/>
      <c r="AB21" s="116"/>
      <c r="AC21" s="116"/>
      <c r="AD21" s="116"/>
      <c r="AE21" s="116"/>
      <c r="AF21" s="9"/>
      <c r="AG21" s="13"/>
      <c r="AH21" s="13"/>
      <c r="AI21" s="13"/>
      <c r="AJ21" s="13"/>
    </row>
    <row r="22" spans="1:43" x14ac:dyDescent="0.3">
      <c r="A22" s="88">
        <v>2</v>
      </c>
      <c r="B22" s="91" t="s">
        <v>175</v>
      </c>
      <c r="C22" s="89">
        <f>D22+K22+L22+N22+P22+R22+S22+U22+V22+W22</f>
        <v>765113.9</v>
      </c>
      <c r="D22" s="89">
        <f>E22+F22+G22+H22+I22</f>
        <v>0</v>
      </c>
      <c r="E22" s="89"/>
      <c r="F22" s="89"/>
      <c r="G22" s="89"/>
      <c r="H22" s="89"/>
      <c r="I22" s="89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>
        <v>765113.9</v>
      </c>
      <c r="X22" s="66">
        <f t="shared" si="3"/>
        <v>0</v>
      </c>
      <c r="Y22" s="66"/>
      <c r="Z22" s="116" t="s">
        <v>13</v>
      </c>
      <c r="AA22" s="116"/>
      <c r="AB22" s="116"/>
      <c r="AC22" s="116"/>
      <c r="AD22" s="116"/>
      <c r="AE22" s="116"/>
      <c r="AF22" s="9"/>
      <c r="AG22" s="13">
        <v>765113.9</v>
      </c>
      <c r="AH22" s="13"/>
      <c r="AI22" s="13"/>
      <c r="AJ22" s="13"/>
    </row>
    <row r="23" spans="1:43" x14ac:dyDescent="0.3">
      <c r="A23" s="100" t="s">
        <v>35</v>
      </c>
      <c r="B23" s="100"/>
      <c r="C23" s="89">
        <f>SUM(C22:C22)</f>
        <v>765113.9</v>
      </c>
      <c r="D23" s="89">
        <f t="shared" ref="D23:W23" si="6">SUM(D22:D22)</f>
        <v>0</v>
      </c>
      <c r="E23" s="89">
        <f t="shared" si="6"/>
        <v>0</v>
      </c>
      <c r="F23" s="89">
        <f t="shared" si="6"/>
        <v>0</v>
      </c>
      <c r="G23" s="89">
        <f t="shared" si="6"/>
        <v>0</v>
      </c>
      <c r="H23" s="89">
        <f t="shared" si="6"/>
        <v>0</v>
      </c>
      <c r="I23" s="89">
        <f t="shared" si="6"/>
        <v>0</v>
      </c>
      <c r="J23" s="88">
        <f t="shared" si="6"/>
        <v>0</v>
      </c>
      <c r="K23" s="89">
        <f t="shared" si="6"/>
        <v>0</v>
      </c>
      <c r="L23" s="89">
        <f t="shared" si="6"/>
        <v>0</v>
      </c>
      <c r="M23" s="89">
        <f t="shared" si="6"/>
        <v>0</v>
      </c>
      <c r="N23" s="89">
        <f t="shared" si="6"/>
        <v>0</v>
      </c>
      <c r="O23" s="89">
        <f t="shared" si="6"/>
        <v>0</v>
      </c>
      <c r="P23" s="89">
        <f t="shared" si="6"/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765113.9</v>
      </c>
      <c r="X23" s="66">
        <f t="shared" si="3"/>
        <v>0</v>
      </c>
      <c r="Y23" s="66"/>
      <c r="Z23" s="116"/>
      <c r="AA23" s="116"/>
      <c r="AB23" s="116"/>
      <c r="AC23" s="116"/>
      <c r="AD23" s="116"/>
      <c r="AE23" s="116"/>
      <c r="AF23" s="9"/>
      <c r="AG23" s="13"/>
      <c r="AH23" s="13"/>
      <c r="AI23" s="13"/>
      <c r="AJ23" s="13"/>
    </row>
    <row r="24" spans="1:43" x14ac:dyDescent="0.3">
      <c r="A24" s="122" t="s">
        <v>176</v>
      </c>
      <c r="B24" s="122"/>
      <c r="C24" s="121">
        <f>C23</f>
        <v>765113.9</v>
      </c>
      <c r="D24" s="121">
        <f t="shared" ref="D24:W24" si="7">D23</f>
        <v>0</v>
      </c>
      <c r="E24" s="121">
        <f t="shared" si="7"/>
        <v>0</v>
      </c>
      <c r="F24" s="121">
        <f t="shared" si="7"/>
        <v>0</v>
      </c>
      <c r="G24" s="121">
        <f t="shared" si="7"/>
        <v>0</v>
      </c>
      <c r="H24" s="121">
        <f t="shared" si="7"/>
        <v>0</v>
      </c>
      <c r="I24" s="121">
        <f t="shared" si="7"/>
        <v>0</v>
      </c>
      <c r="J24" s="157">
        <f t="shared" si="7"/>
        <v>0</v>
      </c>
      <c r="K24" s="121">
        <f t="shared" si="7"/>
        <v>0</v>
      </c>
      <c r="L24" s="121">
        <f t="shared" si="7"/>
        <v>0</v>
      </c>
      <c r="M24" s="121">
        <f t="shared" si="7"/>
        <v>0</v>
      </c>
      <c r="N24" s="121">
        <f t="shared" si="7"/>
        <v>0</v>
      </c>
      <c r="O24" s="121">
        <f t="shared" si="7"/>
        <v>0</v>
      </c>
      <c r="P24" s="121">
        <f t="shared" si="7"/>
        <v>0</v>
      </c>
      <c r="Q24" s="121">
        <f t="shared" si="7"/>
        <v>0</v>
      </c>
      <c r="R24" s="121">
        <f t="shared" si="7"/>
        <v>0</v>
      </c>
      <c r="S24" s="121">
        <f t="shared" si="7"/>
        <v>0</v>
      </c>
      <c r="T24" s="121">
        <f t="shared" si="7"/>
        <v>0</v>
      </c>
      <c r="U24" s="121">
        <f t="shared" si="7"/>
        <v>0</v>
      </c>
      <c r="V24" s="121">
        <f t="shared" si="7"/>
        <v>0</v>
      </c>
      <c r="W24" s="121">
        <f t="shared" si="7"/>
        <v>765113.9</v>
      </c>
      <c r="X24" s="66">
        <f t="shared" si="3"/>
        <v>0</v>
      </c>
      <c r="Y24" s="66"/>
      <c r="Z24" s="116"/>
      <c r="AA24" s="116"/>
      <c r="AB24" s="116"/>
      <c r="AC24" s="116"/>
      <c r="AD24" s="116"/>
      <c r="AE24" s="116"/>
      <c r="AF24" s="9"/>
      <c r="AG24" s="13"/>
      <c r="AH24" s="13"/>
      <c r="AI24" s="13"/>
      <c r="AJ24" s="13"/>
    </row>
    <row r="25" spans="1:43" x14ac:dyDescent="0.3">
      <c r="A25" s="435" t="s">
        <v>73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  <c r="X25" s="66">
        <f t="shared" ref="X25:X32" si="8">C25-D25-K25-L25-N25-P25-R25-S25-U25-V25-W25</f>
        <v>0</v>
      </c>
      <c r="Y25" s="44"/>
      <c r="Z25" s="44"/>
      <c r="AA25" s="44" t="s">
        <v>74</v>
      </c>
      <c r="AB25" s="44" t="s">
        <v>75</v>
      </c>
      <c r="AC25" s="44" t="s">
        <v>76</v>
      </c>
      <c r="AD25" s="116" t="s">
        <v>77</v>
      </c>
      <c r="AE25" s="116" t="s">
        <v>78</v>
      </c>
      <c r="AF25" s="116"/>
      <c r="AG25" s="9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x14ac:dyDescent="0.3">
      <c r="A26" s="30" t="s">
        <v>79</v>
      </c>
      <c r="B26" s="30"/>
      <c r="C26" s="77"/>
      <c r="D26" s="77"/>
      <c r="E26" s="77"/>
      <c r="F26" s="77"/>
      <c r="G26" s="77"/>
      <c r="H26" s="77"/>
      <c r="I26" s="77"/>
      <c r="J26" s="12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66">
        <f t="shared" si="8"/>
        <v>0</v>
      </c>
      <c r="Y26" s="66"/>
      <c r="Z26" s="66"/>
      <c r="AA26" s="66"/>
      <c r="AB26" s="66"/>
      <c r="AC26" s="66"/>
      <c r="AD26" s="66"/>
      <c r="AE26" s="116"/>
      <c r="AF26" s="116"/>
      <c r="AG26" s="9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x14ac:dyDescent="0.3">
      <c r="A27" s="15">
        <v>3</v>
      </c>
      <c r="B27" s="18" t="s">
        <v>80</v>
      </c>
      <c r="C27" s="77">
        <f>D27+K27+L27+N27+P27+R27+S27+U27+V27+W27</f>
        <v>2815579.2</v>
      </c>
      <c r="D27" s="77">
        <f>E27+F27+G27+H27+I27</f>
        <v>2815579.2</v>
      </c>
      <c r="E27" s="77">
        <v>2815579.2</v>
      </c>
      <c r="F27" s="77"/>
      <c r="G27" s="77"/>
      <c r="H27" s="77"/>
      <c r="I27" s="77"/>
      <c r="J27" s="12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6">
        <f t="shared" si="8"/>
        <v>0</v>
      </c>
      <c r="Y27" s="66"/>
      <c r="Z27" s="66"/>
      <c r="AA27" s="66"/>
      <c r="AB27" s="66"/>
      <c r="AC27" s="66"/>
      <c r="AD27" s="66"/>
      <c r="AE27" s="116">
        <v>231370.32</v>
      </c>
      <c r="AF27" s="116"/>
      <c r="AG27" s="9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x14ac:dyDescent="0.3">
      <c r="A28" s="31" t="s">
        <v>35</v>
      </c>
      <c r="B28" s="31"/>
      <c r="C28" s="77">
        <f>SUM(C27:C27)</f>
        <v>2815579.2</v>
      </c>
      <c r="D28" s="77">
        <f>SUM(D27:D27)</f>
        <v>2815579.2</v>
      </c>
      <c r="E28" s="77">
        <f t="shared" ref="E28:W28" si="9">SUM(E27:E27)</f>
        <v>2815579.2</v>
      </c>
      <c r="F28" s="77">
        <f t="shared" si="9"/>
        <v>0</v>
      </c>
      <c r="G28" s="77">
        <f t="shared" si="9"/>
        <v>0</v>
      </c>
      <c r="H28" s="77">
        <f t="shared" si="9"/>
        <v>0</v>
      </c>
      <c r="I28" s="77">
        <f t="shared" si="9"/>
        <v>0</v>
      </c>
      <c r="J28" s="12">
        <f t="shared" si="9"/>
        <v>0</v>
      </c>
      <c r="K28" s="77">
        <f t="shared" si="9"/>
        <v>0</v>
      </c>
      <c r="L28" s="77">
        <f t="shared" si="9"/>
        <v>0</v>
      </c>
      <c r="M28" s="77">
        <f t="shared" si="9"/>
        <v>0</v>
      </c>
      <c r="N28" s="77">
        <f t="shared" si="9"/>
        <v>0</v>
      </c>
      <c r="O28" s="77">
        <f t="shared" si="9"/>
        <v>0</v>
      </c>
      <c r="P28" s="77">
        <f t="shared" si="9"/>
        <v>0</v>
      </c>
      <c r="Q28" s="77">
        <f t="shared" si="9"/>
        <v>0</v>
      </c>
      <c r="R28" s="77">
        <f t="shared" si="9"/>
        <v>0</v>
      </c>
      <c r="S28" s="77">
        <f t="shared" si="9"/>
        <v>0</v>
      </c>
      <c r="T28" s="77">
        <f t="shared" si="9"/>
        <v>0</v>
      </c>
      <c r="U28" s="77">
        <f t="shared" si="9"/>
        <v>0</v>
      </c>
      <c r="V28" s="77">
        <f t="shared" si="9"/>
        <v>0</v>
      </c>
      <c r="W28" s="77">
        <f t="shared" si="9"/>
        <v>0</v>
      </c>
      <c r="X28" s="66">
        <f t="shared" si="8"/>
        <v>0</v>
      </c>
      <c r="Y28" s="66"/>
      <c r="Z28" s="49"/>
      <c r="AA28" s="66"/>
      <c r="AB28" s="66"/>
      <c r="AC28" s="66"/>
      <c r="AD28" s="66"/>
      <c r="AE28" s="116"/>
      <c r="AF28" s="116"/>
      <c r="AG28" s="9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29.25" customHeight="1" x14ac:dyDescent="0.3">
      <c r="A29" s="438" t="s">
        <v>82</v>
      </c>
      <c r="B29" s="439"/>
      <c r="C29" s="76">
        <f>C28</f>
        <v>2815579.2</v>
      </c>
      <c r="D29" s="76">
        <f>D28</f>
        <v>2815579.2</v>
      </c>
      <c r="E29" s="76">
        <f t="shared" ref="E29:W29" si="10">E28</f>
        <v>2815579.2</v>
      </c>
      <c r="F29" s="76">
        <f t="shared" si="10"/>
        <v>0</v>
      </c>
      <c r="G29" s="76">
        <f t="shared" si="10"/>
        <v>0</v>
      </c>
      <c r="H29" s="76">
        <f t="shared" si="10"/>
        <v>0</v>
      </c>
      <c r="I29" s="76">
        <f t="shared" si="10"/>
        <v>0</v>
      </c>
      <c r="J29" s="158">
        <f t="shared" si="10"/>
        <v>0</v>
      </c>
      <c r="K29" s="76">
        <f t="shared" si="10"/>
        <v>0</v>
      </c>
      <c r="L29" s="76">
        <f t="shared" si="10"/>
        <v>0</v>
      </c>
      <c r="M29" s="76">
        <f t="shared" si="10"/>
        <v>0</v>
      </c>
      <c r="N29" s="76">
        <f t="shared" si="10"/>
        <v>0</v>
      </c>
      <c r="O29" s="76">
        <f t="shared" si="10"/>
        <v>0</v>
      </c>
      <c r="P29" s="76">
        <f t="shared" si="10"/>
        <v>0</v>
      </c>
      <c r="Q29" s="76">
        <f t="shared" si="10"/>
        <v>0</v>
      </c>
      <c r="R29" s="76">
        <f t="shared" si="10"/>
        <v>0</v>
      </c>
      <c r="S29" s="76">
        <f t="shared" si="10"/>
        <v>0</v>
      </c>
      <c r="T29" s="76">
        <f t="shared" si="10"/>
        <v>0</v>
      </c>
      <c r="U29" s="76">
        <f t="shared" si="10"/>
        <v>0</v>
      </c>
      <c r="V29" s="76">
        <f t="shared" si="10"/>
        <v>0</v>
      </c>
      <c r="W29" s="76">
        <f t="shared" si="10"/>
        <v>0</v>
      </c>
      <c r="X29" s="66">
        <f t="shared" si="8"/>
        <v>0</v>
      </c>
      <c r="Y29" s="66"/>
      <c r="Z29" s="49"/>
      <c r="AA29" s="66"/>
      <c r="AB29" s="66"/>
      <c r="AC29" s="66"/>
      <c r="AD29" s="66"/>
      <c r="AE29" s="116"/>
      <c r="AF29" s="116"/>
      <c r="AG29" s="9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5" customHeight="1" x14ac:dyDescent="0.3">
      <c r="A30" s="400" t="s">
        <v>193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2"/>
      <c r="X30" s="66">
        <f t="shared" si="8"/>
        <v>0</v>
      </c>
      <c r="Y30" s="114"/>
      <c r="Z30" s="105"/>
      <c r="AA30" s="98"/>
      <c r="AB30" s="98"/>
      <c r="AC30" s="98"/>
      <c r="AD30" s="98"/>
      <c r="AE30" s="98"/>
      <c r="AF30" s="98"/>
      <c r="AG30" s="98"/>
      <c r="AH30" s="98"/>
      <c r="AI30" s="94"/>
      <c r="AJ30" s="95"/>
      <c r="AK30" s="95"/>
      <c r="AL30" s="13"/>
    </row>
    <row r="31" spans="1:43" ht="15" customHeight="1" x14ac:dyDescent="0.3">
      <c r="A31" s="102" t="s">
        <v>191</v>
      </c>
      <c r="B31" s="91"/>
      <c r="C31" s="89"/>
      <c r="D31" s="89"/>
      <c r="E31" s="89"/>
      <c r="F31" s="89"/>
      <c r="G31" s="89"/>
      <c r="H31" s="89"/>
      <c r="I31" s="89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66">
        <f t="shared" si="8"/>
        <v>0</v>
      </c>
      <c r="Y31" s="99"/>
      <c r="Z31" s="103"/>
      <c r="AA31" s="89"/>
      <c r="AB31" s="89"/>
      <c r="AC31" s="89"/>
      <c r="AD31" s="89"/>
      <c r="AE31" s="89"/>
      <c r="AF31" s="89"/>
      <c r="AG31" s="89"/>
      <c r="AH31" s="89"/>
      <c r="AI31" s="94"/>
      <c r="AJ31" s="95"/>
      <c r="AK31" s="104"/>
      <c r="AL31" s="13"/>
    </row>
    <row r="32" spans="1:43" ht="24" customHeight="1" x14ac:dyDescent="0.3">
      <c r="A32" s="90">
        <v>4</v>
      </c>
      <c r="B32" s="91" t="s">
        <v>192</v>
      </c>
      <c r="C32" s="89">
        <f t="shared" ref="C32" si="11">D32+K32+L32+N32+P32+R32+S32+U32+V32+W32</f>
        <v>1493606.71</v>
      </c>
      <c r="D32" s="89">
        <f t="shared" ref="D32" si="12">E32+F32+G32+H32+I32</f>
        <v>0</v>
      </c>
      <c r="E32" s="89"/>
      <c r="F32" s="89"/>
      <c r="G32" s="89"/>
      <c r="H32" s="89"/>
      <c r="I32" s="89"/>
      <c r="J32" s="88"/>
      <c r="K32" s="89"/>
      <c r="L32" s="89"/>
      <c r="M32" s="89"/>
      <c r="N32" s="89"/>
      <c r="O32" s="89"/>
      <c r="P32" s="89"/>
      <c r="Q32" s="89"/>
      <c r="R32" s="89">
        <v>1493606.71</v>
      </c>
      <c r="S32" s="89"/>
      <c r="T32" s="89"/>
      <c r="U32" s="89"/>
      <c r="V32" s="89"/>
      <c r="W32" s="89"/>
      <c r="X32" s="66">
        <f t="shared" si="8"/>
        <v>0</v>
      </c>
      <c r="Y32" s="99"/>
      <c r="Z32" s="103" t="s">
        <v>194</v>
      </c>
      <c r="AA32" s="89"/>
      <c r="AB32" s="89"/>
      <c r="AC32" s="89"/>
      <c r="AD32" s="89"/>
      <c r="AE32" s="89"/>
      <c r="AF32" s="89"/>
      <c r="AG32" s="89"/>
      <c r="AH32" s="89"/>
      <c r="AI32" s="94"/>
      <c r="AJ32" s="95"/>
      <c r="AK32" s="104"/>
      <c r="AL32" s="13"/>
    </row>
    <row r="33" spans="1:43" x14ac:dyDescent="0.3">
      <c r="A33" s="31" t="s">
        <v>35</v>
      </c>
      <c r="B33" s="31"/>
      <c r="C33" s="77">
        <f>SUM(C32:C32)</f>
        <v>1493606.71</v>
      </c>
      <c r="D33" s="77">
        <f>SUM(D32:D32)</f>
        <v>0</v>
      </c>
      <c r="E33" s="77">
        <f t="shared" ref="E33:W33" si="13">SUM(E32:E32)</f>
        <v>0</v>
      </c>
      <c r="F33" s="77">
        <f t="shared" si="13"/>
        <v>0</v>
      </c>
      <c r="G33" s="77">
        <f t="shared" si="13"/>
        <v>0</v>
      </c>
      <c r="H33" s="77">
        <f t="shared" si="13"/>
        <v>0</v>
      </c>
      <c r="I33" s="77">
        <f t="shared" si="13"/>
        <v>0</v>
      </c>
      <c r="J33" s="12">
        <f t="shared" si="13"/>
        <v>0</v>
      </c>
      <c r="K33" s="77">
        <f t="shared" si="13"/>
        <v>0</v>
      </c>
      <c r="L33" s="77">
        <f t="shared" si="13"/>
        <v>0</v>
      </c>
      <c r="M33" s="77">
        <f t="shared" si="13"/>
        <v>0</v>
      </c>
      <c r="N33" s="77">
        <f t="shared" si="13"/>
        <v>0</v>
      </c>
      <c r="O33" s="77">
        <f t="shared" si="13"/>
        <v>0</v>
      </c>
      <c r="P33" s="77">
        <f t="shared" si="13"/>
        <v>0</v>
      </c>
      <c r="Q33" s="77">
        <f t="shared" si="13"/>
        <v>0</v>
      </c>
      <c r="R33" s="77">
        <f t="shared" si="13"/>
        <v>1493606.71</v>
      </c>
      <c r="S33" s="77">
        <f t="shared" si="13"/>
        <v>0</v>
      </c>
      <c r="T33" s="77">
        <f t="shared" si="13"/>
        <v>0</v>
      </c>
      <c r="U33" s="77">
        <f t="shared" si="13"/>
        <v>0</v>
      </c>
      <c r="V33" s="77">
        <f t="shared" si="13"/>
        <v>0</v>
      </c>
      <c r="W33" s="77">
        <f t="shared" si="13"/>
        <v>0</v>
      </c>
      <c r="X33" s="66">
        <f t="shared" ref="X33" si="14">C33-D33-K33-L33-N33-P33-R33-S33-U33-V33-W33</f>
        <v>0</v>
      </c>
      <c r="Y33" s="66"/>
      <c r="Z33" s="49"/>
      <c r="AA33" s="66"/>
      <c r="AB33" s="66"/>
      <c r="AC33" s="66"/>
      <c r="AD33" s="66"/>
      <c r="AE33" s="116"/>
      <c r="AF33" s="116"/>
      <c r="AG33" s="9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21.75" customHeight="1" x14ac:dyDescent="0.3">
      <c r="A34" s="31"/>
      <c r="B34" s="83" t="s">
        <v>87</v>
      </c>
      <c r="C34" s="76">
        <f>C29+C19+C24+C33+C14</f>
        <v>12908731.73</v>
      </c>
      <c r="D34" s="76">
        <f t="shared" ref="D34:W34" si="15">D29+D19+D24+D33+D14</f>
        <v>2815579.2</v>
      </c>
      <c r="E34" s="76">
        <f t="shared" si="15"/>
        <v>2815579.2</v>
      </c>
      <c r="F34" s="76">
        <f t="shared" si="15"/>
        <v>0</v>
      </c>
      <c r="G34" s="76">
        <f t="shared" si="15"/>
        <v>0</v>
      </c>
      <c r="H34" s="76">
        <f t="shared" si="15"/>
        <v>0</v>
      </c>
      <c r="I34" s="76">
        <f t="shared" si="15"/>
        <v>0</v>
      </c>
      <c r="J34" s="76">
        <f t="shared" si="15"/>
        <v>2</v>
      </c>
      <c r="K34" s="76">
        <f t="shared" si="15"/>
        <v>7346346</v>
      </c>
      <c r="L34" s="76">
        <f t="shared" si="15"/>
        <v>146926.92000000001</v>
      </c>
      <c r="M34" s="76">
        <f t="shared" si="15"/>
        <v>13</v>
      </c>
      <c r="N34" s="76">
        <f t="shared" si="15"/>
        <v>81159</v>
      </c>
      <c r="O34" s="76">
        <f t="shared" si="15"/>
        <v>0</v>
      </c>
      <c r="P34" s="76">
        <f t="shared" si="15"/>
        <v>0</v>
      </c>
      <c r="Q34" s="76">
        <f t="shared" si="15"/>
        <v>0</v>
      </c>
      <c r="R34" s="76">
        <f t="shared" si="15"/>
        <v>1493606.71</v>
      </c>
      <c r="S34" s="76">
        <f t="shared" si="15"/>
        <v>0</v>
      </c>
      <c r="T34" s="76">
        <f t="shared" si="15"/>
        <v>0</v>
      </c>
      <c r="U34" s="76">
        <f t="shared" si="15"/>
        <v>0</v>
      </c>
      <c r="V34" s="76">
        <f t="shared" si="15"/>
        <v>0</v>
      </c>
      <c r="W34" s="76">
        <f t="shared" si="15"/>
        <v>1025113.9</v>
      </c>
      <c r="X34" s="66">
        <f t="shared" ref="X34:X37" si="16">C34-D34-K34-L34-N34-P34-R34-S34-U34-V34-W34</f>
        <v>1.280568540096283E-9</v>
      </c>
      <c r="Y34" s="66"/>
      <c r="Z34" s="39"/>
      <c r="AA34" s="77"/>
      <c r="AB34" s="77"/>
      <c r="AC34" s="77"/>
      <c r="AD34" s="77"/>
      <c r="AE34" s="77"/>
      <c r="AF34" s="77"/>
      <c r="AG34" s="77"/>
      <c r="AH34" s="77"/>
      <c r="AI34" s="16"/>
      <c r="AJ34" s="17"/>
      <c r="AK34" s="14"/>
      <c r="AL34" s="13"/>
    </row>
    <row r="35" spans="1:43" x14ac:dyDescent="0.3">
      <c r="A35" s="81"/>
      <c r="B35" s="84" t="s">
        <v>139</v>
      </c>
      <c r="C35" s="134">
        <f>(C34-W34-L34)*0.0214</f>
        <v>251165.185474</v>
      </c>
      <c r="D35" s="6"/>
      <c r="E35" s="6"/>
      <c r="F35" s="6"/>
      <c r="G35" s="6"/>
      <c r="H35" s="6"/>
      <c r="I35" s="6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6">
        <f t="shared" si="16"/>
        <v>251165.185474</v>
      </c>
      <c r="Y35" s="116"/>
    </row>
    <row r="36" spans="1:43" ht="31.2" x14ac:dyDescent="0.3">
      <c r="A36" s="81"/>
      <c r="B36" s="85" t="s">
        <v>140</v>
      </c>
      <c r="C36" s="134">
        <f>C34+C35</f>
        <v>13159896.915474001</v>
      </c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6">
        <f t="shared" si="16"/>
        <v>13159896.915474001</v>
      </c>
      <c r="Y36" s="116"/>
    </row>
    <row r="37" spans="1:43" ht="15.75" x14ac:dyDescent="0.25">
      <c r="C37" s="116"/>
      <c r="D37" s="116"/>
      <c r="E37" s="116"/>
      <c r="F37" s="116"/>
      <c r="G37" s="116"/>
      <c r="H37" s="116"/>
      <c r="I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66">
        <f t="shared" si="16"/>
        <v>0</v>
      </c>
      <c r="Y37" s="116"/>
    </row>
    <row r="38" spans="1:43" ht="15.75" x14ac:dyDescent="0.25">
      <c r="C38" s="116"/>
      <c r="D38" s="116"/>
      <c r="E38" s="116"/>
      <c r="F38" s="116"/>
      <c r="G38" s="116"/>
      <c r="H38" s="116"/>
      <c r="I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43" ht="15.75" x14ac:dyDescent="0.25">
      <c r="H39" s="116"/>
    </row>
    <row r="42" spans="1:43" ht="15.75" x14ac:dyDescent="0.25">
      <c r="F42" s="116"/>
    </row>
  </sheetData>
  <autoFilter ref="A8:AQ36"/>
  <mergeCells count="35">
    <mergeCell ref="A25:W25"/>
    <mergeCell ref="A29:B29"/>
    <mergeCell ref="W4:W7"/>
    <mergeCell ref="A15:W15"/>
    <mergeCell ref="A20:W20"/>
    <mergeCell ref="A10:W10"/>
    <mergeCell ref="A14:B14"/>
    <mergeCell ref="A1:W1"/>
    <mergeCell ref="F5:F7"/>
    <mergeCell ref="G5:G7"/>
    <mergeCell ref="I5:I7"/>
    <mergeCell ref="H5:H7"/>
    <mergeCell ref="D3:W3"/>
    <mergeCell ref="B3:B7"/>
    <mergeCell ref="A3:A7"/>
    <mergeCell ref="E5:E7"/>
    <mergeCell ref="J5:J7"/>
    <mergeCell ref="K5:K7"/>
    <mergeCell ref="S4:S7"/>
    <mergeCell ref="A30:W30"/>
    <mergeCell ref="AF2:AH2"/>
    <mergeCell ref="C3:C6"/>
    <mergeCell ref="D4:I4"/>
    <mergeCell ref="J4:L4"/>
    <mergeCell ref="M4:N7"/>
    <mergeCell ref="O4:P7"/>
    <mergeCell ref="Q4:R7"/>
    <mergeCell ref="T4:U7"/>
    <mergeCell ref="V4:V7"/>
    <mergeCell ref="AF4:AF8"/>
    <mergeCell ref="AG4:AG8"/>
    <mergeCell ref="AH4:AH8"/>
    <mergeCell ref="D5:D7"/>
    <mergeCell ref="L5:L7"/>
    <mergeCell ref="A19:B19"/>
  </mergeCells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</oddFooter>
  </headerFooter>
  <rowBreaks count="1" manualBreakCount="1">
    <brk id="54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7"/>
  <sheetViews>
    <sheetView view="pageBreakPreview" zoomScale="70" zoomScaleNormal="70" zoomScaleSheetLayoutView="70" workbookViewId="0">
      <pane xSplit="3" ySplit="8" topLeftCell="D114" activePane="bottomRight" state="frozen"/>
      <selection pane="topRight" activeCell="D1" sqref="D1"/>
      <selection pane="bottomLeft" activeCell="A9" sqref="A9"/>
      <selection pane="bottomRight" activeCell="A115" sqref="A115:B117"/>
    </sheetView>
  </sheetViews>
  <sheetFormatPr defaultColWidth="9.109375" defaultRowHeight="15.6" x14ac:dyDescent="0.3"/>
  <cols>
    <col min="1" max="1" width="7.33203125" style="279" customWidth="1"/>
    <col min="2" max="2" width="54.33203125" style="211" customWidth="1"/>
    <col min="3" max="3" width="20.44140625" style="169" customWidth="1"/>
    <col min="4" max="4" width="19.109375" style="169" customWidth="1"/>
    <col min="5" max="5" width="17.88671875" style="169" customWidth="1"/>
    <col min="6" max="6" width="18" style="169" customWidth="1"/>
    <col min="7" max="7" width="19" style="169" customWidth="1"/>
    <col min="8" max="8" width="16.5546875" style="169" customWidth="1"/>
    <col min="9" max="9" width="19.6640625" style="169" bestFit="1" customWidth="1"/>
    <col min="10" max="10" width="8.44140625" style="169" customWidth="1"/>
    <col min="11" max="11" width="19.88671875" style="169" customWidth="1"/>
    <col min="12" max="12" width="14.5546875" style="169" customWidth="1"/>
    <col min="13" max="13" width="12.5546875" style="169" bestFit="1" customWidth="1"/>
    <col min="14" max="14" width="19.109375" style="169" customWidth="1"/>
    <col min="15" max="15" width="11.88671875" style="169" customWidth="1"/>
    <col min="16" max="16" width="18.6640625" style="169" customWidth="1"/>
    <col min="17" max="17" width="13" style="169" bestFit="1" customWidth="1"/>
    <col min="18" max="18" width="19.5546875" style="169" customWidth="1"/>
    <col min="19" max="19" width="16.109375" style="169" customWidth="1"/>
    <col min="20" max="20" width="11.6640625" style="169" bestFit="1" customWidth="1"/>
    <col min="21" max="21" width="17.5546875" style="169" bestFit="1" customWidth="1"/>
    <col min="22" max="22" width="16.33203125" style="169" customWidth="1"/>
    <col min="23" max="23" width="19.6640625" style="169" customWidth="1"/>
    <col min="24" max="24" width="19.6640625" style="169" hidden="1" customWidth="1"/>
    <col min="25" max="26" width="14.44140625" style="170" hidden="1" customWidth="1"/>
    <col min="27" max="27" width="16.88671875" style="170" hidden="1" customWidth="1"/>
    <col min="28" max="31" width="14.44140625" style="170" hidden="1" customWidth="1"/>
    <col min="32" max="32" width="16.88671875" style="170" hidden="1" customWidth="1"/>
    <col min="33" max="35" width="14.44140625" style="170" hidden="1" customWidth="1"/>
    <col min="36" max="36" width="12.5546875" style="170" hidden="1" customWidth="1"/>
    <col min="37" max="39" width="9.109375" style="170" hidden="1" customWidth="1"/>
    <col min="40" max="40" width="9.33203125" style="170" hidden="1" customWidth="1"/>
    <col min="41" max="41" width="9.109375" style="170" hidden="1" customWidth="1"/>
    <col min="42" max="47" width="9.109375" style="170" customWidth="1"/>
    <col min="48" max="16384" width="9.109375" style="170"/>
  </cols>
  <sheetData>
    <row r="1" spans="1:35" x14ac:dyDescent="0.3">
      <c r="A1" s="475" t="s">
        <v>196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178"/>
      <c r="Y1" s="178"/>
      <c r="Z1" s="178"/>
      <c r="AA1" s="178"/>
      <c r="AB1" s="178"/>
      <c r="AC1" s="174"/>
      <c r="AD1" s="174"/>
      <c r="AE1" s="174"/>
      <c r="AF1" s="174"/>
      <c r="AG1" s="174"/>
    </row>
    <row r="2" spans="1:35" x14ac:dyDescent="0.3">
      <c r="A2" s="179"/>
      <c r="B2" s="180"/>
      <c r="Y2" s="169"/>
      <c r="Z2" s="169"/>
      <c r="AA2" s="180"/>
      <c r="AB2" s="174"/>
      <c r="AC2" s="174"/>
      <c r="AD2" s="174"/>
      <c r="AE2" s="479" t="s">
        <v>0</v>
      </c>
      <c r="AF2" s="479"/>
      <c r="AG2" s="479"/>
    </row>
    <row r="3" spans="1:35" ht="46.8" x14ac:dyDescent="0.3">
      <c r="A3" s="181" t="s">
        <v>1</v>
      </c>
      <c r="B3" s="182" t="s">
        <v>2</v>
      </c>
      <c r="C3" s="183" t="s">
        <v>3</v>
      </c>
      <c r="D3" s="184" t="s">
        <v>4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71"/>
      <c r="Y3" s="171"/>
      <c r="Z3" s="186"/>
      <c r="AA3" s="180"/>
      <c r="AB3" s="174"/>
      <c r="AC3" s="174"/>
      <c r="AD3" s="174"/>
      <c r="AE3" s="174"/>
      <c r="AF3" s="174"/>
      <c r="AG3" s="174"/>
    </row>
    <row r="4" spans="1:35" ht="15" customHeight="1" x14ac:dyDescent="0.3">
      <c r="A4" s="187"/>
      <c r="B4" s="188"/>
      <c r="C4" s="189"/>
      <c r="D4" s="480" t="s">
        <v>5</v>
      </c>
      <c r="E4" s="481"/>
      <c r="F4" s="481"/>
      <c r="G4" s="481"/>
      <c r="H4" s="481"/>
      <c r="I4" s="482"/>
      <c r="J4" s="480" t="s">
        <v>6</v>
      </c>
      <c r="K4" s="481"/>
      <c r="L4" s="482"/>
      <c r="M4" s="483" t="s">
        <v>7</v>
      </c>
      <c r="N4" s="484"/>
      <c r="O4" s="483" t="s">
        <v>8</v>
      </c>
      <c r="P4" s="484"/>
      <c r="Q4" s="483" t="s">
        <v>9</v>
      </c>
      <c r="R4" s="484"/>
      <c r="S4" s="190"/>
      <c r="T4" s="483" t="s">
        <v>10</v>
      </c>
      <c r="U4" s="484"/>
      <c r="V4" s="455" t="s">
        <v>11</v>
      </c>
      <c r="W4" s="455" t="s">
        <v>12</v>
      </c>
      <c r="X4" s="191"/>
      <c r="Y4" s="192"/>
      <c r="Z4" s="192"/>
      <c r="AA4" s="192"/>
      <c r="AB4" s="192"/>
      <c r="AC4" s="192"/>
      <c r="AD4" s="192"/>
      <c r="AE4" s="192"/>
      <c r="AF4" s="469" t="s">
        <v>13</v>
      </c>
      <c r="AG4" s="469" t="s">
        <v>14</v>
      </c>
      <c r="AH4" s="454" t="s">
        <v>15</v>
      </c>
      <c r="AI4" s="451" t="s">
        <v>142</v>
      </c>
    </row>
    <row r="5" spans="1:35" ht="15" customHeight="1" x14ac:dyDescent="0.3">
      <c r="A5" s="187"/>
      <c r="B5" s="188"/>
      <c r="C5" s="189"/>
      <c r="D5" s="455" t="s">
        <v>16</v>
      </c>
      <c r="E5" s="455" t="s">
        <v>17</v>
      </c>
      <c r="F5" s="455" t="s">
        <v>18</v>
      </c>
      <c r="G5" s="455" t="s">
        <v>19</v>
      </c>
      <c r="H5" s="455" t="s">
        <v>20</v>
      </c>
      <c r="I5" s="455" t="s">
        <v>21</v>
      </c>
      <c r="J5" s="455"/>
      <c r="K5" s="455" t="s">
        <v>22</v>
      </c>
      <c r="L5" s="455" t="s">
        <v>23</v>
      </c>
      <c r="M5" s="485"/>
      <c r="N5" s="486"/>
      <c r="O5" s="485"/>
      <c r="P5" s="486"/>
      <c r="Q5" s="485"/>
      <c r="R5" s="486"/>
      <c r="S5" s="193"/>
      <c r="T5" s="485"/>
      <c r="U5" s="486"/>
      <c r="V5" s="456"/>
      <c r="W5" s="456"/>
      <c r="X5" s="189"/>
      <c r="Y5" s="192"/>
      <c r="Z5" s="192"/>
      <c r="AA5" s="192"/>
      <c r="AB5" s="192"/>
      <c r="AC5" s="192"/>
      <c r="AD5" s="192"/>
      <c r="AE5" s="192"/>
      <c r="AF5" s="469"/>
      <c r="AG5" s="469"/>
      <c r="AH5" s="454"/>
      <c r="AI5" s="452"/>
    </row>
    <row r="6" spans="1:35" x14ac:dyDescent="0.3">
      <c r="A6" s="187"/>
      <c r="B6" s="188"/>
      <c r="C6" s="189"/>
      <c r="D6" s="456"/>
      <c r="E6" s="456"/>
      <c r="F6" s="456"/>
      <c r="G6" s="456"/>
      <c r="H6" s="456"/>
      <c r="I6" s="456"/>
      <c r="J6" s="456"/>
      <c r="K6" s="456"/>
      <c r="L6" s="456"/>
      <c r="M6" s="485"/>
      <c r="N6" s="486"/>
      <c r="O6" s="485"/>
      <c r="P6" s="486"/>
      <c r="Q6" s="485"/>
      <c r="R6" s="486"/>
      <c r="S6" s="193" t="s">
        <v>24</v>
      </c>
      <c r="T6" s="485"/>
      <c r="U6" s="486"/>
      <c r="V6" s="456"/>
      <c r="W6" s="456"/>
      <c r="X6" s="189"/>
      <c r="Y6" s="192" t="s">
        <v>25</v>
      </c>
      <c r="Z6" s="192" t="s">
        <v>26</v>
      </c>
      <c r="AA6" s="192" t="s">
        <v>76</v>
      </c>
      <c r="AB6" s="192" t="s">
        <v>28</v>
      </c>
      <c r="AC6" s="192" t="s">
        <v>56</v>
      </c>
      <c r="AD6" s="192" t="s">
        <v>29</v>
      </c>
      <c r="AE6" s="192" t="s">
        <v>143</v>
      </c>
      <c r="AF6" s="469"/>
      <c r="AG6" s="469"/>
      <c r="AH6" s="454"/>
      <c r="AI6" s="452"/>
    </row>
    <row r="7" spans="1:35" ht="45.75" customHeight="1" x14ac:dyDescent="0.3">
      <c r="A7" s="194"/>
      <c r="B7" s="195"/>
      <c r="C7" s="196"/>
      <c r="D7" s="457"/>
      <c r="E7" s="457"/>
      <c r="F7" s="457"/>
      <c r="G7" s="457"/>
      <c r="H7" s="457"/>
      <c r="I7" s="457"/>
      <c r="J7" s="457"/>
      <c r="K7" s="457"/>
      <c r="L7" s="457"/>
      <c r="M7" s="487"/>
      <c r="N7" s="488"/>
      <c r="O7" s="487"/>
      <c r="P7" s="488"/>
      <c r="Q7" s="487"/>
      <c r="R7" s="488"/>
      <c r="S7" s="197"/>
      <c r="T7" s="487"/>
      <c r="U7" s="488"/>
      <c r="V7" s="457"/>
      <c r="W7" s="457"/>
      <c r="X7" s="196"/>
      <c r="Y7" s="192"/>
      <c r="Z7" s="192"/>
      <c r="AA7" s="192"/>
      <c r="AB7" s="192"/>
      <c r="AC7" s="192"/>
      <c r="AD7" s="192"/>
      <c r="AE7" s="192"/>
      <c r="AF7" s="469"/>
      <c r="AG7" s="469"/>
      <c r="AH7" s="454"/>
      <c r="AI7" s="452"/>
    </row>
    <row r="8" spans="1:35" x14ac:dyDescent="0.3">
      <c r="A8" s="198"/>
      <c r="B8" s="199"/>
      <c r="C8" s="192" t="s">
        <v>30</v>
      </c>
      <c r="D8" s="192" t="s">
        <v>30</v>
      </c>
      <c r="E8" s="192" t="s">
        <v>30</v>
      </c>
      <c r="F8" s="192" t="s">
        <v>30</v>
      </c>
      <c r="G8" s="192" t="s">
        <v>30</v>
      </c>
      <c r="H8" s="192" t="s">
        <v>30</v>
      </c>
      <c r="I8" s="192" t="s">
        <v>30</v>
      </c>
      <c r="J8" s="192" t="s">
        <v>31</v>
      </c>
      <c r="K8" s="192" t="s">
        <v>30</v>
      </c>
      <c r="L8" s="192" t="s">
        <v>30</v>
      </c>
      <c r="M8" s="192" t="s">
        <v>32</v>
      </c>
      <c r="N8" s="192" t="s">
        <v>30</v>
      </c>
      <c r="O8" s="192" t="s">
        <v>32</v>
      </c>
      <c r="P8" s="192" t="s">
        <v>30</v>
      </c>
      <c r="Q8" s="192" t="s">
        <v>32</v>
      </c>
      <c r="R8" s="192" t="s">
        <v>30</v>
      </c>
      <c r="S8" s="192" t="s">
        <v>30</v>
      </c>
      <c r="T8" s="192" t="s">
        <v>33</v>
      </c>
      <c r="U8" s="192" t="s">
        <v>30</v>
      </c>
      <c r="V8" s="192" t="s">
        <v>30</v>
      </c>
      <c r="W8" s="192" t="s">
        <v>30</v>
      </c>
      <c r="X8" s="192"/>
      <c r="Y8" s="192"/>
      <c r="Z8" s="192"/>
      <c r="AA8" s="192"/>
      <c r="AB8" s="192"/>
      <c r="AC8" s="192"/>
      <c r="AD8" s="192"/>
      <c r="AE8" s="192"/>
      <c r="AF8" s="469"/>
      <c r="AG8" s="469"/>
      <c r="AH8" s="454"/>
      <c r="AI8" s="452"/>
    </row>
    <row r="9" spans="1:35" x14ac:dyDescent="0.3">
      <c r="A9" s="200">
        <v>1</v>
      </c>
      <c r="B9" s="201">
        <v>2</v>
      </c>
      <c r="C9" s="200">
        <v>3</v>
      </c>
      <c r="D9" s="201">
        <v>4</v>
      </c>
      <c r="E9" s="200">
        <v>5</v>
      </c>
      <c r="F9" s="201">
        <v>6</v>
      </c>
      <c r="G9" s="200">
        <v>7</v>
      </c>
      <c r="H9" s="201">
        <v>8</v>
      </c>
      <c r="I9" s="200">
        <v>9</v>
      </c>
      <c r="J9" s="201">
        <v>10</v>
      </c>
      <c r="K9" s="200">
        <v>11</v>
      </c>
      <c r="L9" s="201">
        <v>12</v>
      </c>
      <c r="M9" s="200">
        <v>13</v>
      </c>
      <c r="N9" s="201">
        <v>14</v>
      </c>
      <c r="O9" s="200">
        <v>15</v>
      </c>
      <c r="P9" s="201">
        <v>16</v>
      </c>
      <c r="Q9" s="200">
        <v>17</v>
      </c>
      <c r="R9" s="201">
        <v>18</v>
      </c>
      <c r="S9" s="200">
        <v>19</v>
      </c>
      <c r="T9" s="201">
        <v>20</v>
      </c>
      <c r="U9" s="200">
        <v>21</v>
      </c>
      <c r="V9" s="201">
        <v>22</v>
      </c>
      <c r="W9" s="200">
        <v>23</v>
      </c>
      <c r="X9" s="202"/>
      <c r="Y9" s="203"/>
      <c r="Z9" s="204"/>
      <c r="AA9" s="204"/>
      <c r="AB9" s="202"/>
      <c r="AC9" s="202"/>
      <c r="AD9" s="205"/>
      <c r="AE9" s="205"/>
      <c r="AF9" s="205"/>
      <c r="AG9" s="205"/>
      <c r="AH9" s="205"/>
      <c r="AI9" s="452"/>
    </row>
    <row r="10" spans="1:35" ht="18.75" customHeight="1" x14ac:dyDescent="0.3">
      <c r="A10" s="453" t="s">
        <v>104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206"/>
      <c r="Y10" s="207"/>
      <c r="Z10" s="207"/>
      <c r="AA10" s="207"/>
      <c r="AB10" s="207"/>
      <c r="AC10" s="207"/>
      <c r="AD10" s="208"/>
      <c r="AE10" s="208"/>
      <c r="AF10" s="208"/>
      <c r="AG10" s="209"/>
      <c r="AH10" s="174"/>
      <c r="AI10" s="174"/>
    </row>
    <row r="11" spans="1:35" x14ac:dyDescent="0.3">
      <c r="A11" s="210" t="s">
        <v>36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212"/>
      <c r="Y11" s="162"/>
      <c r="Z11" s="162"/>
      <c r="AA11" s="162"/>
      <c r="AB11" s="162"/>
      <c r="AC11" s="162"/>
      <c r="AD11" s="162"/>
      <c r="AE11" s="213"/>
      <c r="AF11" s="209"/>
      <c r="AG11" s="209"/>
      <c r="AH11" s="174"/>
      <c r="AI11" s="174"/>
    </row>
    <row r="12" spans="1:35" x14ac:dyDescent="0.3">
      <c r="A12" s="200">
        <v>1</v>
      </c>
      <c r="B12" s="214" t="s">
        <v>37</v>
      </c>
      <c r="C12" s="162">
        <f>D12+K12+L12+N12+P12+R12+S12+U12+V12+W12</f>
        <v>130000</v>
      </c>
      <c r="D12" s="162">
        <f>E12+F12+G12+H12+I12</f>
        <v>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>
        <v>130000</v>
      </c>
      <c r="X12" s="212"/>
      <c r="Y12" s="162"/>
      <c r="Z12" s="162"/>
      <c r="AA12" s="162"/>
      <c r="AB12" s="162"/>
      <c r="AC12" s="162"/>
      <c r="AD12" s="162">
        <v>130000</v>
      </c>
      <c r="AE12" s="213"/>
      <c r="AF12" s="209"/>
      <c r="AG12" s="209"/>
      <c r="AH12" s="174"/>
      <c r="AI12" s="174"/>
    </row>
    <row r="13" spans="1:35" x14ac:dyDescent="0.3">
      <c r="A13" s="467" t="s">
        <v>35</v>
      </c>
      <c r="B13" s="468"/>
      <c r="C13" s="162">
        <f t="shared" ref="C13:W13" si="0">SUM(C12:C12)</f>
        <v>130000</v>
      </c>
      <c r="D13" s="162">
        <f t="shared" si="0"/>
        <v>0</v>
      </c>
      <c r="E13" s="162">
        <f t="shared" si="0"/>
        <v>0</v>
      </c>
      <c r="F13" s="162">
        <f t="shared" si="0"/>
        <v>0</v>
      </c>
      <c r="G13" s="162">
        <f t="shared" si="0"/>
        <v>0</v>
      </c>
      <c r="H13" s="162">
        <f t="shared" si="0"/>
        <v>0</v>
      </c>
      <c r="I13" s="162">
        <f t="shared" si="0"/>
        <v>0</v>
      </c>
      <c r="J13" s="162">
        <f t="shared" si="0"/>
        <v>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0</v>
      </c>
      <c r="O13" s="162">
        <f t="shared" si="0"/>
        <v>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62">
        <f t="shared" si="0"/>
        <v>0</v>
      </c>
      <c r="T13" s="162">
        <f t="shared" si="0"/>
        <v>0</v>
      </c>
      <c r="U13" s="162">
        <f t="shared" si="0"/>
        <v>0</v>
      </c>
      <c r="V13" s="162">
        <f t="shared" si="0"/>
        <v>0</v>
      </c>
      <c r="W13" s="162">
        <f t="shared" si="0"/>
        <v>130000</v>
      </c>
      <c r="X13" s="212"/>
      <c r="Y13" s="162"/>
      <c r="Z13" s="162"/>
      <c r="AA13" s="162"/>
      <c r="AB13" s="162"/>
      <c r="AC13" s="162"/>
      <c r="AD13" s="162"/>
      <c r="AE13" s="213"/>
      <c r="AF13" s="209"/>
      <c r="AG13" s="209"/>
      <c r="AH13" s="174"/>
      <c r="AI13" s="174"/>
    </row>
    <row r="14" spans="1:35" x14ac:dyDescent="0.3">
      <c r="A14" s="489" t="s">
        <v>200</v>
      </c>
      <c r="B14" s="490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15"/>
      <c r="Y14" s="168"/>
      <c r="Z14" s="168"/>
      <c r="AA14" s="168"/>
      <c r="AB14" s="168"/>
      <c r="AC14" s="168"/>
      <c r="AD14" s="168"/>
      <c r="AE14" s="216"/>
      <c r="AF14" s="217"/>
      <c r="AG14" s="217"/>
      <c r="AH14" s="174"/>
      <c r="AI14" s="174"/>
    </row>
    <row r="15" spans="1:35" x14ac:dyDescent="0.3">
      <c r="A15" s="160">
        <f>A12+1</f>
        <v>2</v>
      </c>
      <c r="B15" s="161" t="s">
        <v>199</v>
      </c>
      <c r="C15" s="168">
        <f>D15+K15+L15+N15+P15+R15+S15+U15+V15+W15</f>
        <v>217045.27</v>
      </c>
      <c r="D15" s="168">
        <f>E15+F15+G15+H15+I15</f>
        <v>0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>
        <f>SUM(Y15:AI15)</f>
        <v>217045.27</v>
      </c>
      <c r="X15" s="215"/>
      <c r="Y15" s="168"/>
      <c r="Z15" s="168"/>
      <c r="AA15" s="168"/>
      <c r="AB15" s="168"/>
      <c r="AC15" s="168"/>
      <c r="AD15" s="168"/>
      <c r="AF15" s="217"/>
      <c r="AG15" s="216">
        <v>217045.27</v>
      </c>
      <c r="AH15" s="174"/>
      <c r="AI15" s="174"/>
    </row>
    <row r="16" spans="1:35" x14ac:dyDescent="0.3">
      <c r="A16" s="467" t="s">
        <v>35</v>
      </c>
      <c r="B16" s="468"/>
      <c r="C16" s="162">
        <f t="shared" ref="C16:W16" si="1">SUM(C15:C15)</f>
        <v>217045.27</v>
      </c>
      <c r="D16" s="162">
        <f t="shared" si="1"/>
        <v>0</v>
      </c>
      <c r="E16" s="162">
        <f t="shared" si="1"/>
        <v>0</v>
      </c>
      <c r="F16" s="162">
        <f t="shared" si="1"/>
        <v>0</v>
      </c>
      <c r="G16" s="162">
        <f t="shared" si="1"/>
        <v>0</v>
      </c>
      <c r="H16" s="162">
        <f t="shared" si="1"/>
        <v>0</v>
      </c>
      <c r="I16" s="162">
        <f t="shared" si="1"/>
        <v>0</v>
      </c>
      <c r="J16" s="162">
        <f t="shared" si="1"/>
        <v>0</v>
      </c>
      <c r="K16" s="162">
        <f t="shared" si="1"/>
        <v>0</v>
      </c>
      <c r="L16" s="162">
        <f t="shared" si="1"/>
        <v>0</v>
      </c>
      <c r="M16" s="162">
        <f t="shared" si="1"/>
        <v>0</v>
      </c>
      <c r="N16" s="162">
        <f t="shared" si="1"/>
        <v>0</v>
      </c>
      <c r="O16" s="162">
        <f t="shared" si="1"/>
        <v>0</v>
      </c>
      <c r="P16" s="162">
        <f t="shared" si="1"/>
        <v>0</v>
      </c>
      <c r="Q16" s="162">
        <f t="shared" si="1"/>
        <v>0</v>
      </c>
      <c r="R16" s="162">
        <f t="shared" si="1"/>
        <v>0</v>
      </c>
      <c r="S16" s="162">
        <f t="shared" si="1"/>
        <v>0</v>
      </c>
      <c r="T16" s="162">
        <f t="shared" si="1"/>
        <v>0</v>
      </c>
      <c r="U16" s="162">
        <f t="shared" si="1"/>
        <v>0</v>
      </c>
      <c r="V16" s="162">
        <f t="shared" si="1"/>
        <v>0</v>
      </c>
      <c r="W16" s="162">
        <f t="shared" si="1"/>
        <v>217045.27</v>
      </c>
      <c r="X16" s="212"/>
      <c r="Y16" s="162"/>
      <c r="Z16" s="162"/>
      <c r="AA16" s="162"/>
      <c r="AB16" s="162"/>
      <c r="AC16" s="162"/>
      <c r="AD16" s="162"/>
      <c r="AE16" s="213"/>
      <c r="AF16" s="209"/>
      <c r="AG16" s="209"/>
      <c r="AH16" s="174"/>
      <c r="AI16" s="174"/>
    </row>
    <row r="17" spans="1:39" x14ac:dyDescent="0.3">
      <c r="A17" s="465" t="s">
        <v>111</v>
      </c>
      <c r="B17" s="466"/>
      <c r="C17" s="208">
        <f>C13+C16</f>
        <v>347045.27</v>
      </c>
      <c r="D17" s="208">
        <f t="shared" ref="D17:W17" si="2">D13+D16</f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208">
        <f t="shared" si="2"/>
        <v>0</v>
      </c>
      <c r="I17" s="208">
        <f t="shared" si="2"/>
        <v>0</v>
      </c>
      <c r="J17" s="208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208">
        <f t="shared" si="2"/>
        <v>0</v>
      </c>
      <c r="O17" s="208">
        <f t="shared" si="2"/>
        <v>0</v>
      </c>
      <c r="P17" s="208">
        <f t="shared" si="2"/>
        <v>0</v>
      </c>
      <c r="Q17" s="208">
        <f t="shared" si="2"/>
        <v>0</v>
      </c>
      <c r="R17" s="208">
        <f t="shared" si="2"/>
        <v>0</v>
      </c>
      <c r="S17" s="208">
        <f t="shared" si="2"/>
        <v>0</v>
      </c>
      <c r="T17" s="208">
        <f t="shared" si="2"/>
        <v>0</v>
      </c>
      <c r="U17" s="208">
        <f t="shared" si="2"/>
        <v>0</v>
      </c>
      <c r="V17" s="208">
        <f t="shared" si="2"/>
        <v>0</v>
      </c>
      <c r="W17" s="208">
        <f t="shared" si="2"/>
        <v>347045.27</v>
      </c>
      <c r="X17" s="171"/>
      <c r="Y17" s="171"/>
      <c r="Z17" s="171"/>
      <c r="AA17" s="171"/>
      <c r="AB17" s="171"/>
      <c r="AC17" s="171"/>
      <c r="AD17" s="171"/>
      <c r="AE17" s="218"/>
      <c r="AF17" s="219"/>
      <c r="AG17" s="219"/>
      <c r="AH17" s="174"/>
      <c r="AI17" s="174"/>
    </row>
    <row r="18" spans="1:39" x14ac:dyDescent="0.3">
      <c r="A18" s="220" t="s">
        <v>208</v>
      </c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171"/>
      <c r="Y18" s="171"/>
      <c r="Z18" s="171"/>
      <c r="AA18" s="171"/>
      <c r="AB18" s="171"/>
      <c r="AC18" s="171"/>
      <c r="AD18" s="171"/>
      <c r="AE18" s="218"/>
      <c r="AF18" s="219"/>
      <c r="AG18" s="219"/>
      <c r="AH18" s="174"/>
      <c r="AI18" s="174"/>
    </row>
    <row r="19" spans="1:39" ht="33" customHeight="1" x14ac:dyDescent="0.3">
      <c r="A19" s="489" t="s">
        <v>207</v>
      </c>
      <c r="B19" s="490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215"/>
      <c r="Y19" s="223"/>
      <c r="Z19" s="223"/>
      <c r="AA19" s="223"/>
      <c r="AB19" s="223"/>
      <c r="AC19" s="223"/>
      <c r="AD19" s="223"/>
      <c r="AE19" s="223"/>
      <c r="AG19" s="224"/>
    </row>
    <row r="20" spans="1:39" x14ac:dyDescent="0.3">
      <c r="A20" s="160">
        <f>A15+1</f>
        <v>3</v>
      </c>
      <c r="B20" s="161" t="s">
        <v>206</v>
      </c>
      <c r="C20" s="168">
        <f>D20+K20+L20+N20+R20+S20+U20+V20+W20</f>
        <v>949602.59</v>
      </c>
      <c r="D20" s="168">
        <f>E20+F20+G20+H20+I20</f>
        <v>0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>
        <f>SUM(Z20:AF20)</f>
        <v>949602.59</v>
      </c>
      <c r="X20" s="171"/>
      <c r="Y20" s="225">
        <v>176311.48</v>
      </c>
      <c r="Z20" s="225">
        <v>225469.19</v>
      </c>
      <c r="AA20" s="222">
        <v>190699.78</v>
      </c>
      <c r="AC20" s="226">
        <v>174120.37</v>
      </c>
      <c r="AD20" s="225"/>
      <c r="AF20" s="225">
        <v>359313.25</v>
      </c>
      <c r="AG20" s="224"/>
    </row>
    <row r="21" spans="1:39" x14ac:dyDescent="0.3">
      <c r="A21" s="467" t="s">
        <v>35</v>
      </c>
      <c r="B21" s="468"/>
      <c r="C21" s="162">
        <f t="shared" ref="C21:W21" si="3">SUM(C20:C20)</f>
        <v>949602.59</v>
      </c>
      <c r="D21" s="162">
        <f t="shared" si="3"/>
        <v>0</v>
      </c>
      <c r="E21" s="162">
        <f t="shared" si="3"/>
        <v>0</v>
      </c>
      <c r="F21" s="162">
        <f t="shared" si="3"/>
        <v>0</v>
      </c>
      <c r="G21" s="162">
        <f t="shared" si="3"/>
        <v>0</v>
      </c>
      <c r="H21" s="162">
        <f t="shared" si="3"/>
        <v>0</v>
      </c>
      <c r="I21" s="162">
        <f t="shared" si="3"/>
        <v>0</v>
      </c>
      <c r="J21" s="162">
        <f t="shared" si="3"/>
        <v>0</v>
      </c>
      <c r="K21" s="162">
        <f t="shared" si="3"/>
        <v>0</v>
      </c>
      <c r="L21" s="162">
        <f t="shared" si="3"/>
        <v>0</v>
      </c>
      <c r="M21" s="162">
        <f t="shared" si="3"/>
        <v>0</v>
      </c>
      <c r="N21" s="162">
        <f t="shared" si="3"/>
        <v>0</v>
      </c>
      <c r="O21" s="162">
        <f t="shared" si="3"/>
        <v>0</v>
      </c>
      <c r="P21" s="162">
        <f t="shared" si="3"/>
        <v>0</v>
      </c>
      <c r="Q21" s="162">
        <f t="shared" si="3"/>
        <v>0</v>
      </c>
      <c r="R21" s="162">
        <f t="shared" si="3"/>
        <v>0</v>
      </c>
      <c r="S21" s="162">
        <f t="shared" si="3"/>
        <v>0</v>
      </c>
      <c r="T21" s="162">
        <f t="shared" si="3"/>
        <v>0</v>
      </c>
      <c r="U21" s="162">
        <f t="shared" si="3"/>
        <v>0</v>
      </c>
      <c r="V21" s="162">
        <f t="shared" si="3"/>
        <v>0</v>
      </c>
      <c r="W21" s="162">
        <f t="shared" si="3"/>
        <v>949602.59</v>
      </c>
      <c r="X21" s="212"/>
      <c r="Y21" s="162"/>
      <c r="Z21" s="162"/>
      <c r="AA21" s="162"/>
      <c r="AB21" s="162"/>
      <c r="AC21" s="162"/>
      <c r="AD21" s="162"/>
      <c r="AE21" s="213"/>
      <c r="AF21" s="209"/>
      <c r="AG21" s="209"/>
      <c r="AH21" s="174"/>
      <c r="AI21" s="174"/>
    </row>
    <row r="22" spans="1:39" x14ac:dyDescent="0.3">
      <c r="A22" s="465" t="s">
        <v>210</v>
      </c>
      <c r="B22" s="466"/>
      <c r="C22" s="227">
        <f t="shared" ref="C22:W22" si="4">C21</f>
        <v>949602.59</v>
      </c>
      <c r="D22" s="227">
        <f t="shared" si="4"/>
        <v>0</v>
      </c>
      <c r="E22" s="227">
        <f t="shared" si="4"/>
        <v>0</v>
      </c>
      <c r="F22" s="227">
        <f t="shared" si="4"/>
        <v>0</v>
      </c>
      <c r="G22" s="227">
        <f t="shared" si="4"/>
        <v>0</v>
      </c>
      <c r="H22" s="227">
        <f t="shared" si="4"/>
        <v>0</v>
      </c>
      <c r="I22" s="227">
        <f t="shared" si="4"/>
        <v>0</v>
      </c>
      <c r="J22" s="227">
        <f t="shared" si="4"/>
        <v>0</v>
      </c>
      <c r="K22" s="227">
        <f t="shared" si="4"/>
        <v>0</v>
      </c>
      <c r="L22" s="227">
        <f t="shared" si="4"/>
        <v>0</v>
      </c>
      <c r="M22" s="227">
        <f t="shared" si="4"/>
        <v>0</v>
      </c>
      <c r="N22" s="227">
        <f t="shared" si="4"/>
        <v>0</v>
      </c>
      <c r="O22" s="227">
        <f t="shared" si="4"/>
        <v>0</v>
      </c>
      <c r="P22" s="227">
        <f t="shared" si="4"/>
        <v>0</v>
      </c>
      <c r="Q22" s="227">
        <f t="shared" si="4"/>
        <v>0</v>
      </c>
      <c r="R22" s="227">
        <f t="shared" si="4"/>
        <v>0</v>
      </c>
      <c r="S22" s="227">
        <f t="shared" si="4"/>
        <v>0</v>
      </c>
      <c r="T22" s="227">
        <f t="shared" si="4"/>
        <v>0</v>
      </c>
      <c r="U22" s="227">
        <f t="shared" si="4"/>
        <v>0</v>
      </c>
      <c r="V22" s="227">
        <f t="shared" si="4"/>
        <v>0</v>
      </c>
      <c r="W22" s="227">
        <f t="shared" si="4"/>
        <v>949602.59</v>
      </c>
      <c r="X22" s="228"/>
      <c r="Y22" s="229"/>
      <c r="Z22" s="229"/>
      <c r="AA22" s="229"/>
      <c r="AB22" s="229"/>
      <c r="AC22" s="168"/>
      <c r="AD22" s="168"/>
      <c r="AE22" s="216"/>
      <c r="AF22" s="230"/>
      <c r="AG22" s="219"/>
      <c r="AH22" s="174"/>
      <c r="AI22" s="174"/>
    </row>
    <row r="23" spans="1:39" x14ac:dyDescent="0.3">
      <c r="A23" s="458" t="s">
        <v>38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60"/>
      <c r="X23" s="231"/>
      <c r="Y23" s="232"/>
      <c r="Z23" s="232"/>
      <c r="AA23" s="232"/>
      <c r="AB23" s="232"/>
      <c r="AC23" s="208"/>
      <c r="AD23" s="208"/>
      <c r="AE23" s="208"/>
      <c r="AF23" s="233"/>
      <c r="AG23" s="174"/>
    </row>
    <row r="24" spans="1:39" x14ac:dyDescent="0.3">
      <c r="A24" s="210" t="s">
        <v>39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71"/>
      <c r="Y24" s="171"/>
      <c r="Z24" s="171"/>
      <c r="AA24" s="171"/>
      <c r="AB24" s="171"/>
      <c r="AC24" s="169"/>
      <c r="AD24" s="172"/>
      <c r="AE24" s="173"/>
      <c r="AF24" s="173"/>
      <c r="AG24" s="174"/>
    </row>
    <row r="25" spans="1:39" x14ac:dyDescent="0.3">
      <c r="A25" s="160">
        <f>A20+1</f>
        <v>4</v>
      </c>
      <c r="B25" s="214" t="s">
        <v>40</v>
      </c>
      <c r="C25" s="162">
        <f t="shared" ref="C25:C32" si="5">D25+K25+L25+N25+P25+R25+S25+U25+W25+V25</f>
        <v>130000</v>
      </c>
      <c r="D25" s="162">
        <f t="shared" ref="D25:D33" si="6">E25+F25+G25+H25+I25</f>
        <v>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234"/>
      <c r="W25" s="162">
        <v>130000</v>
      </c>
      <c r="X25" s="171"/>
      <c r="Y25" s="171"/>
      <c r="Z25" s="171"/>
      <c r="AA25" s="171"/>
      <c r="AB25" s="171"/>
      <c r="AC25" s="169"/>
      <c r="AD25" s="172">
        <v>130000</v>
      </c>
      <c r="AE25" s="173"/>
      <c r="AF25" s="173"/>
      <c r="AG25" s="174"/>
    </row>
    <row r="26" spans="1:39" x14ac:dyDescent="0.3">
      <c r="A26" s="160">
        <f>A25+1</f>
        <v>5</v>
      </c>
      <c r="B26" s="235" t="s">
        <v>249</v>
      </c>
      <c r="C26" s="162">
        <f>D26+K26+L26+N26+P26+R26+S26+U26+W26+V26</f>
        <v>397653.68</v>
      </c>
      <c r="D26" s="236">
        <f t="shared" si="6"/>
        <v>0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7"/>
      <c r="W26" s="236">
        <v>397653.68</v>
      </c>
      <c r="X26" s="171"/>
      <c r="Y26" s="171"/>
      <c r="Z26" s="171"/>
      <c r="AA26" s="171"/>
      <c r="AD26" s="173"/>
      <c r="AE26" s="169">
        <v>397653.68</v>
      </c>
      <c r="AF26" s="172"/>
    </row>
    <row r="27" spans="1:39" x14ac:dyDescent="0.3">
      <c r="A27" s="160">
        <f t="shared" ref="A27:A32" si="7">A26+1</f>
        <v>6</v>
      </c>
      <c r="B27" s="235" t="s">
        <v>248</v>
      </c>
      <c r="C27" s="162">
        <f t="shared" si="5"/>
        <v>281021.93</v>
      </c>
      <c r="D27" s="236">
        <f t="shared" si="6"/>
        <v>0</v>
      </c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7"/>
      <c r="W27" s="236">
        <v>281021.93</v>
      </c>
      <c r="X27" s="171"/>
      <c r="Y27" s="171"/>
      <c r="Z27" s="171"/>
      <c r="AA27" s="169"/>
      <c r="AD27" s="173"/>
      <c r="AE27" s="171">
        <v>281021.93</v>
      </c>
      <c r="AF27" s="172"/>
    </row>
    <row r="28" spans="1:39" x14ac:dyDescent="0.3">
      <c r="A28" s="160">
        <f t="shared" si="7"/>
        <v>7</v>
      </c>
      <c r="B28" s="214" t="s">
        <v>41</v>
      </c>
      <c r="C28" s="162">
        <f t="shared" si="5"/>
        <v>130000</v>
      </c>
      <c r="D28" s="162">
        <f t="shared" si="6"/>
        <v>0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234"/>
      <c r="W28" s="162">
        <v>130000</v>
      </c>
      <c r="X28" s="171"/>
      <c r="Y28" s="171"/>
      <c r="Z28" s="171"/>
      <c r="AA28" s="171"/>
      <c r="AB28" s="171"/>
      <c r="AC28" s="169"/>
      <c r="AD28" s="180">
        <v>130000</v>
      </c>
      <c r="AE28" s="174"/>
      <c r="AF28" s="173"/>
      <c r="AG28" s="174"/>
    </row>
    <row r="29" spans="1:39" x14ac:dyDescent="0.3">
      <c r="A29" s="160">
        <f t="shared" si="7"/>
        <v>8</v>
      </c>
      <c r="B29" s="235" t="s">
        <v>247</v>
      </c>
      <c r="C29" s="162">
        <f t="shared" si="5"/>
        <v>342924.76</v>
      </c>
      <c r="D29" s="236">
        <f t="shared" si="6"/>
        <v>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170"/>
      <c r="W29" s="236">
        <v>342924.76</v>
      </c>
      <c r="X29" s="171"/>
      <c r="Y29" s="171"/>
      <c r="Z29" s="171"/>
      <c r="AA29" s="171"/>
      <c r="AD29" s="173"/>
      <c r="AE29" s="169">
        <v>342924.76</v>
      </c>
      <c r="AF29" s="172"/>
    </row>
    <row r="30" spans="1:39" x14ac:dyDescent="0.3">
      <c r="A30" s="160">
        <f t="shared" si="7"/>
        <v>9</v>
      </c>
      <c r="B30" s="161" t="s">
        <v>145</v>
      </c>
      <c r="C30" s="162">
        <f t="shared" si="5"/>
        <v>870516.7</v>
      </c>
      <c r="D30" s="163">
        <f t="shared" si="6"/>
        <v>0</v>
      </c>
      <c r="E30" s="164"/>
      <c r="F30" s="164"/>
      <c r="G30" s="164"/>
      <c r="H30" s="164"/>
      <c r="I30" s="164"/>
      <c r="J30" s="164"/>
      <c r="K30" s="164"/>
      <c r="L30" s="164"/>
      <c r="M30" s="165"/>
      <c r="N30" s="164"/>
      <c r="O30" s="166"/>
      <c r="P30" s="164"/>
      <c r="Q30" s="167"/>
      <c r="R30" s="164"/>
      <c r="S30" s="164"/>
      <c r="T30" s="167"/>
      <c r="U30" s="164"/>
      <c r="V30" s="165"/>
      <c r="W30" s="168">
        <f>SUM(AD30:AN30)</f>
        <v>870516.7</v>
      </c>
      <c r="AD30" s="171">
        <v>227499.59</v>
      </c>
      <c r="AE30" s="171"/>
      <c r="AF30" s="169">
        <v>470465.62</v>
      </c>
      <c r="AG30" s="172">
        <v>172551.49</v>
      </c>
      <c r="AH30" s="171"/>
      <c r="AK30" s="173"/>
      <c r="AL30" s="173"/>
      <c r="AM30" s="174"/>
    </row>
    <row r="31" spans="1:39" x14ac:dyDescent="0.3">
      <c r="A31" s="160">
        <f t="shared" si="7"/>
        <v>10</v>
      </c>
      <c r="B31" s="235" t="s">
        <v>246</v>
      </c>
      <c r="C31" s="162">
        <f>D31+K31+L31+N31+P31+R31+S31+U31+W31+V31</f>
        <v>391281.5</v>
      </c>
      <c r="D31" s="236">
        <f t="shared" si="6"/>
        <v>0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170"/>
      <c r="W31" s="236">
        <v>391281.5</v>
      </c>
      <c r="X31" s="171"/>
      <c r="Y31" s="171"/>
      <c r="Z31" s="171"/>
      <c r="AA31" s="171"/>
      <c r="AD31" s="173"/>
      <c r="AE31" s="169">
        <v>391281.5</v>
      </c>
      <c r="AF31" s="172"/>
    </row>
    <row r="32" spans="1:39" x14ac:dyDescent="0.3">
      <c r="A32" s="160">
        <f t="shared" si="7"/>
        <v>11</v>
      </c>
      <c r="B32" s="235" t="s">
        <v>151</v>
      </c>
      <c r="C32" s="162">
        <f t="shared" si="5"/>
        <v>381632.86</v>
      </c>
      <c r="D32" s="236">
        <f t="shared" si="6"/>
        <v>0</v>
      </c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>
        <f>SUM(Y32:AH32)</f>
        <v>381632.86</v>
      </c>
      <c r="X32" s="171"/>
      <c r="Y32" s="171"/>
      <c r="Z32" s="171"/>
      <c r="AA32" s="171"/>
      <c r="AB32" s="171"/>
      <c r="AD32" s="172"/>
      <c r="AE32" s="173"/>
      <c r="AF32" s="169">
        <v>381632.86</v>
      </c>
      <c r="AG32" s="174"/>
    </row>
    <row r="33" spans="1:37" x14ac:dyDescent="0.3">
      <c r="A33" s="160">
        <f>A32+1</f>
        <v>12</v>
      </c>
      <c r="B33" s="214" t="s">
        <v>42</v>
      </c>
      <c r="C33" s="162">
        <f>D33+K33+L33+N33+P33+R33+S33+U33+W33+V33</f>
        <v>130000</v>
      </c>
      <c r="D33" s="162">
        <f t="shared" si="6"/>
        <v>0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>
        <v>130000</v>
      </c>
      <c r="X33" s="171"/>
      <c r="Y33" s="171"/>
      <c r="Z33" s="171"/>
      <c r="AA33" s="171"/>
      <c r="AB33" s="171"/>
      <c r="AC33" s="169"/>
      <c r="AD33" s="172">
        <v>130000</v>
      </c>
      <c r="AE33" s="173"/>
      <c r="AF33" s="173"/>
      <c r="AG33" s="174"/>
    </row>
    <row r="34" spans="1:37" x14ac:dyDescent="0.3">
      <c r="A34" s="463" t="s">
        <v>35</v>
      </c>
      <c r="B34" s="464"/>
      <c r="C34" s="162">
        <f>SUM(C25:C33)</f>
        <v>3055031.4299999997</v>
      </c>
      <c r="D34" s="162">
        <f t="shared" ref="D34:W34" si="8">SUM(D25:D33)</f>
        <v>0</v>
      </c>
      <c r="E34" s="162">
        <f t="shared" si="8"/>
        <v>0</v>
      </c>
      <c r="F34" s="162">
        <f t="shared" si="8"/>
        <v>0</v>
      </c>
      <c r="G34" s="162">
        <f t="shared" si="8"/>
        <v>0</v>
      </c>
      <c r="H34" s="162">
        <f t="shared" si="8"/>
        <v>0</v>
      </c>
      <c r="I34" s="162">
        <f t="shared" si="8"/>
        <v>0</v>
      </c>
      <c r="J34" s="162">
        <f t="shared" si="8"/>
        <v>0</v>
      </c>
      <c r="K34" s="162">
        <f t="shared" si="8"/>
        <v>0</v>
      </c>
      <c r="L34" s="162">
        <f t="shared" si="8"/>
        <v>0</v>
      </c>
      <c r="M34" s="162">
        <f t="shared" si="8"/>
        <v>0</v>
      </c>
      <c r="N34" s="162">
        <f t="shared" si="8"/>
        <v>0</v>
      </c>
      <c r="O34" s="162">
        <f t="shared" si="8"/>
        <v>0</v>
      </c>
      <c r="P34" s="162">
        <f t="shared" si="8"/>
        <v>0</v>
      </c>
      <c r="Q34" s="162">
        <f t="shared" si="8"/>
        <v>0</v>
      </c>
      <c r="R34" s="162">
        <f t="shared" si="8"/>
        <v>0</v>
      </c>
      <c r="S34" s="162">
        <f t="shared" si="8"/>
        <v>0</v>
      </c>
      <c r="T34" s="162">
        <f t="shared" si="8"/>
        <v>0</v>
      </c>
      <c r="U34" s="162">
        <f t="shared" si="8"/>
        <v>0</v>
      </c>
      <c r="V34" s="162">
        <f t="shared" si="8"/>
        <v>0</v>
      </c>
      <c r="W34" s="162">
        <f t="shared" si="8"/>
        <v>3055031.4299999997</v>
      </c>
      <c r="X34" s="171"/>
      <c r="Y34" s="169"/>
      <c r="Z34" s="172"/>
      <c r="AA34" s="173"/>
      <c r="AB34" s="173"/>
      <c r="AC34" s="174"/>
      <c r="AD34" s="174"/>
      <c r="AE34" s="174"/>
    </row>
    <row r="35" spans="1:37" s="242" customFormat="1" ht="17.25" customHeight="1" x14ac:dyDescent="0.3">
      <c r="A35" s="223" t="s">
        <v>211</v>
      </c>
      <c r="B35" s="175"/>
      <c r="C35" s="238"/>
      <c r="D35" s="238"/>
      <c r="E35" s="239"/>
      <c r="F35" s="239"/>
      <c r="G35" s="239"/>
      <c r="H35" s="240"/>
      <c r="I35" s="241"/>
      <c r="J35" s="238"/>
      <c r="K35" s="238"/>
    </row>
    <row r="36" spans="1:37" s="244" customFormat="1" ht="17.25" customHeight="1" x14ac:dyDescent="0.3">
      <c r="A36" s="160">
        <f>A33+1</f>
        <v>13</v>
      </c>
      <c r="B36" s="175" t="s">
        <v>212</v>
      </c>
      <c r="C36" s="168">
        <f>D36+K36+L36+N36+P36+R36+S36+U36+W36</f>
        <v>1498287.23</v>
      </c>
      <c r="D36" s="168"/>
      <c r="E36" s="168"/>
      <c r="F36" s="168"/>
      <c r="G36" s="168"/>
      <c r="H36" s="168"/>
      <c r="I36" s="168"/>
      <c r="J36" s="243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>
        <f>SUM(Z36:AJ36)</f>
        <v>1498287.23</v>
      </c>
      <c r="X36" s="171">
        <f>C36-E36-F36-G36-H36-I36-N36-P36-R36-S36-U36-V36-W36</f>
        <v>0</v>
      </c>
      <c r="Y36" s="171"/>
      <c r="Z36" s="171"/>
      <c r="AA36" s="171"/>
      <c r="AB36" s="171"/>
      <c r="AC36" s="171"/>
      <c r="AD36" s="171"/>
      <c r="AE36" s="169"/>
      <c r="AF36" s="172">
        <v>202463.64</v>
      </c>
      <c r="AG36" s="173">
        <v>1295823.5900000001</v>
      </c>
      <c r="AH36" s="173"/>
      <c r="AI36" s="174"/>
    </row>
    <row r="37" spans="1:37" x14ac:dyDescent="0.3">
      <c r="A37" s="467" t="s">
        <v>35</v>
      </c>
      <c r="B37" s="468"/>
      <c r="C37" s="162">
        <f t="shared" ref="C37" si="9">SUM(C36:C36)</f>
        <v>1498287.23</v>
      </c>
      <c r="D37" s="162">
        <f t="shared" ref="D37" si="10">SUM(D36:D36)</f>
        <v>0</v>
      </c>
      <c r="E37" s="162">
        <f t="shared" ref="E37" si="11">SUM(E36:E36)</f>
        <v>0</v>
      </c>
      <c r="F37" s="162">
        <f t="shared" ref="F37" si="12">SUM(F36:F36)</f>
        <v>0</v>
      </c>
      <c r="G37" s="162">
        <f t="shared" ref="G37" si="13">SUM(G36:G36)</f>
        <v>0</v>
      </c>
      <c r="H37" s="162">
        <f t="shared" ref="H37" si="14">SUM(H36:H36)</f>
        <v>0</v>
      </c>
      <c r="I37" s="162">
        <f t="shared" ref="I37" si="15">SUM(I36:I36)</f>
        <v>0</v>
      </c>
      <c r="J37" s="162">
        <f t="shared" ref="J37" si="16">SUM(J36:J36)</f>
        <v>0</v>
      </c>
      <c r="K37" s="162">
        <f t="shared" ref="K37" si="17">SUM(K36:K36)</f>
        <v>0</v>
      </c>
      <c r="L37" s="162">
        <f t="shared" ref="L37" si="18">SUM(L36:L36)</f>
        <v>0</v>
      </c>
      <c r="M37" s="162">
        <f t="shared" ref="M37" si="19">SUM(M36:M36)</f>
        <v>0</v>
      </c>
      <c r="N37" s="162">
        <f t="shared" ref="N37" si="20">SUM(N36:N36)</f>
        <v>0</v>
      </c>
      <c r="O37" s="162">
        <f t="shared" ref="O37" si="21">SUM(O36:O36)</f>
        <v>0</v>
      </c>
      <c r="P37" s="162">
        <f t="shared" ref="P37" si="22">SUM(P36:P36)</f>
        <v>0</v>
      </c>
      <c r="Q37" s="162">
        <f t="shared" ref="Q37" si="23">SUM(Q36:Q36)</f>
        <v>0</v>
      </c>
      <c r="R37" s="162">
        <f t="shared" ref="R37" si="24">SUM(R36:R36)</f>
        <v>0</v>
      </c>
      <c r="S37" s="162">
        <f t="shared" ref="S37" si="25">SUM(S36:S36)</f>
        <v>0</v>
      </c>
      <c r="T37" s="162">
        <f t="shared" ref="T37" si="26">SUM(T36:T36)</f>
        <v>0</v>
      </c>
      <c r="U37" s="162">
        <f t="shared" ref="U37" si="27">SUM(U36:U36)</f>
        <v>0</v>
      </c>
      <c r="V37" s="162">
        <f t="shared" ref="V37" si="28">SUM(V36:V36)</f>
        <v>0</v>
      </c>
      <c r="W37" s="162">
        <f t="shared" ref="W37" si="29">SUM(W36:W36)</f>
        <v>1498287.23</v>
      </c>
      <c r="X37" s="212"/>
      <c r="Y37" s="162"/>
      <c r="Z37" s="162"/>
      <c r="AA37" s="162"/>
      <c r="AB37" s="162"/>
      <c r="AC37" s="162"/>
      <c r="AD37" s="162"/>
      <c r="AE37" s="213"/>
      <c r="AF37" s="209"/>
      <c r="AG37" s="209"/>
      <c r="AH37" s="174"/>
      <c r="AI37" s="174"/>
    </row>
    <row r="38" spans="1:37" x14ac:dyDescent="0.3">
      <c r="A38" s="465" t="s">
        <v>149</v>
      </c>
      <c r="B38" s="466"/>
      <c r="C38" s="222">
        <f>C37+C34</f>
        <v>4553318.66</v>
      </c>
      <c r="D38" s="222">
        <f t="shared" ref="D38:W38" si="30">D37+D34</f>
        <v>0</v>
      </c>
      <c r="E38" s="222">
        <f t="shared" si="30"/>
        <v>0</v>
      </c>
      <c r="F38" s="222">
        <f t="shared" si="30"/>
        <v>0</v>
      </c>
      <c r="G38" s="222">
        <f t="shared" si="30"/>
        <v>0</v>
      </c>
      <c r="H38" s="222">
        <f t="shared" si="30"/>
        <v>0</v>
      </c>
      <c r="I38" s="222">
        <f t="shared" si="30"/>
        <v>0</v>
      </c>
      <c r="J38" s="222">
        <f t="shared" si="30"/>
        <v>0</v>
      </c>
      <c r="K38" s="222">
        <f t="shared" si="30"/>
        <v>0</v>
      </c>
      <c r="L38" s="222">
        <f t="shared" si="30"/>
        <v>0</v>
      </c>
      <c r="M38" s="222">
        <f t="shared" si="30"/>
        <v>0</v>
      </c>
      <c r="N38" s="222">
        <f t="shared" si="30"/>
        <v>0</v>
      </c>
      <c r="O38" s="222">
        <f t="shared" si="30"/>
        <v>0</v>
      </c>
      <c r="P38" s="222">
        <f t="shared" si="30"/>
        <v>0</v>
      </c>
      <c r="Q38" s="222">
        <f t="shared" si="30"/>
        <v>0</v>
      </c>
      <c r="R38" s="222">
        <f t="shared" si="30"/>
        <v>0</v>
      </c>
      <c r="S38" s="222">
        <f t="shared" si="30"/>
        <v>0</v>
      </c>
      <c r="T38" s="222">
        <f t="shared" si="30"/>
        <v>0</v>
      </c>
      <c r="U38" s="222">
        <f t="shared" si="30"/>
        <v>0</v>
      </c>
      <c r="V38" s="222">
        <f t="shared" si="30"/>
        <v>0</v>
      </c>
      <c r="W38" s="222">
        <f t="shared" si="30"/>
        <v>4553318.66</v>
      </c>
      <c r="X38" s="171"/>
      <c r="Y38" s="169"/>
      <c r="Z38" s="172"/>
      <c r="AA38" s="173"/>
      <c r="AB38" s="173"/>
      <c r="AC38" s="174"/>
      <c r="AD38" s="174"/>
      <c r="AE38" s="174"/>
    </row>
    <row r="39" spans="1:37" ht="15" customHeight="1" x14ac:dyDescent="0.3">
      <c r="A39" s="476" t="s">
        <v>44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8"/>
      <c r="X39" s="245"/>
      <c r="Y39" s="169"/>
      <c r="Z39" s="180"/>
      <c r="AA39" s="174"/>
      <c r="AB39" s="174"/>
      <c r="AC39" s="174"/>
      <c r="AD39" s="174"/>
      <c r="AE39" s="174"/>
    </row>
    <row r="40" spans="1:37" ht="15" customHeight="1" x14ac:dyDescent="0.3">
      <c r="A40" s="246" t="s">
        <v>46</v>
      </c>
      <c r="B40" s="170"/>
      <c r="C40" s="162"/>
      <c r="D40" s="162"/>
      <c r="E40" s="162"/>
      <c r="F40" s="162"/>
      <c r="G40" s="162"/>
      <c r="H40" s="162"/>
      <c r="I40" s="162">
        <v>0</v>
      </c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71"/>
      <c r="Y40" s="169"/>
      <c r="Z40" s="172"/>
      <c r="AA40" s="173"/>
      <c r="AB40" s="173"/>
      <c r="AC40" s="174"/>
      <c r="AD40" s="174"/>
      <c r="AE40" s="174"/>
    </row>
    <row r="41" spans="1:37" x14ac:dyDescent="0.3">
      <c r="A41" s="160">
        <f>A36+1</f>
        <v>14</v>
      </c>
      <c r="B41" s="214" t="s">
        <v>47</v>
      </c>
      <c r="C41" s="162">
        <f t="shared" ref="C41:C51" si="31">D41+K41+L41+N41+P41+R41+U41+S41+V41+W41</f>
        <v>130000</v>
      </c>
      <c r="D41" s="162">
        <f t="shared" ref="D41:D51" si="32">E41+F41+G41+H41+I41</f>
        <v>0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>
        <v>130000</v>
      </c>
      <c r="X41" s="171"/>
      <c r="AD41" s="171">
        <v>130000</v>
      </c>
      <c r="AE41" s="169"/>
      <c r="AF41" s="180">
        <v>0</v>
      </c>
      <c r="AG41" s="174"/>
      <c r="AH41" s="174"/>
      <c r="AI41" s="174"/>
      <c r="AJ41" s="174" t="s">
        <v>48</v>
      </c>
      <c r="AK41" s="174"/>
    </row>
    <row r="42" spans="1:37" x14ac:dyDescent="0.3">
      <c r="A42" s="247">
        <f t="shared" ref="A42:A51" si="33">A41+1</f>
        <v>15</v>
      </c>
      <c r="B42" s="214" t="s">
        <v>49</v>
      </c>
      <c r="C42" s="162">
        <f t="shared" si="31"/>
        <v>130000</v>
      </c>
      <c r="D42" s="162">
        <f t="shared" si="32"/>
        <v>0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>
        <v>130000</v>
      </c>
      <c r="X42" s="171"/>
      <c r="AD42" s="171">
        <v>130000</v>
      </c>
      <c r="AE42" s="169"/>
      <c r="AF42" s="180"/>
      <c r="AG42" s="174"/>
      <c r="AH42" s="174"/>
      <c r="AI42" s="174"/>
      <c r="AJ42" s="174"/>
      <c r="AK42" s="174"/>
    </row>
    <row r="43" spans="1:37" x14ac:dyDescent="0.3">
      <c r="A43" s="248">
        <f t="shared" si="33"/>
        <v>16</v>
      </c>
      <c r="B43" s="235" t="s">
        <v>153</v>
      </c>
      <c r="C43" s="236">
        <f>D43+K43+L43+N43+P43+R43+U43+S43+V43+W43</f>
        <v>692536.12</v>
      </c>
      <c r="D43" s="236">
        <f t="shared" si="32"/>
        <v>0</v>
      </c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>
        <f t="shared" ref="W43:W56" si="34">SUM(AD43:AH43)</f>
        <v>692536.12</v>
      </c>
      <c r="X43" s="171"/>
      <c r="AD43" s="249">
        <v>245691.36</v>
      </c>
      <c r="AF43" s="249">
        <v>446844.76</v>
      </c>
      <c r="AG43" s="249"/>
      <c r="AH43" s="174"/>
      <c r="AI43" s="174"/>
      <c r="AJ43" s="174" t="s">
        <v>50</v>
      </c>
      <c r="AK43" s="174"/>
    </row>
    <row r="44" spans="1:37" x14ac:dyDescent="0.3">
      <c r="A44" s="248">
        <f t="shared" si="33"/>
        <v>17</v>
      </c>
      <c r="B44" s="235" t="s">
        <v>154</v>
      </c>
      <c r="C44" s="236">
        <f t="shared" si="31"/>
        <v>2302330.79</v>
      </c>
      <c r="D44" s="236">
        <f t="shared" si="32"/>
        <v>0</v>
      </c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162">
        <f>SUM(Z44:AG44)</f>
        <v>2302330.79</v>
      </c>
      <c r="X44" s="171"/>
      <c r="AD44" s="171"/>
      <c r="AE44" s="169"/>
      <c r="AF44" s="180"/>
      <c r="AG44" s="249">
        <v>2302330.79</v>
      </c>
      <c r="AH44" s="174"/>
      <c r="AI44" s="174"/>
      <c r="AJ44" s="174" t="s">
        <v>155</v>
      </c>
      <c r="AK44" s="174"/>
    </row>
    <row r="45" spans="1:37" x14ac:dyDescent="0.3">
      <c r="A45" s="248">
        <f t="shared" si="33"/>
        <v>18</v>
      </c>
      <c r="B45" s="214" t="s">
        <v>51</v>
      </c>
      <c r="C45" s="162">
        <f t="shared" si="31"/>
        <v>862328.91000000015</v>
      </c>
      <c r="D45" s="162">
        <f t="shared" si="32"/>
        <v>0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>
        <f>SUM(Z45:AG45)</f>
        <v>862328.91000000015</v>
      </c>
      <c r="X45" s="171"/>
      <c r="Z45" s="170">
        <v>144277.54</v>
      </c>
      <c r="AC45" s="170">
        <v>142833</v>
      </c>
      <c r="AD45" s="249">
        <v>182291.03</v>
      </c>
      <c r="AE45" s="249"/>
      <c r="AF45" s="249">
        <v>227183.64</v>
      </c>
      <c r="AG45" s="249">
        <v>165743.70000000001</v>
      </c>
      <c r="AH45" s="174"/>
      <c r="AI45" s="174"/>
      <c r="AJ45" s="174" t="s">
        <v>52</v>
      </c>
      <c r="AK45" s="174"/>
    </row>
    <row r="46" spans="1:37" x14ac:dyDescent="0.3">
      <c r="A46" s="248">
        <f t="shared" si="33"/>
        <v>19</v>
      </c>
      <c r="B46" s="214" t="s">
        <v>53</v>
      </c>
      <c r="C46" s="162">
        <f t="shared" si="31"/>
        <v>782831.04</v>
      </c>
      <c r="D46" s="162">
        <f t="shared" si="32"/>
        <v>0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>
        <f t="shared" si="34"/>
        <v>782831.04</v>
      </c>
      <c r="X46" s="171"/>
      <c r="AD46" s="171">
        <v>192109.85</v>
      </c>
      <c r="AF46" s="171">
        <v>361408.49</v>
      </c>
      <c r="AG46" s="171">
        <v>229312.7</v>
      </c>
      <c r="AH46" s="171"/>
      <c r="AI46" s="174"/>
      <c r="AJ46" s="174" t="s">
        <v>50</v>
      </c>
      <c r="AK46" s="174"/>
    </row>
    <row r="47" spans="1:37" x14ac:dyDescent="0.3">
      <c r="A47" s="248">
        <f t="shared" si="33"/>
        <v>20</v>
      </c>
      <c r="B47" s="235" t="s">
        <v>156</v>
      </c>
      <c r="C47" s="236">
        <f t="shared" si="31"/>
        <v>542850.34</v>
      </c>
      <c r="D47" s="236">
        <f t="shared" si="32"/>
        <v>0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>
        <f t="shared" si="34"/>
        <v>542850.34</v>
      </c>
      <c r="X47" s="171"/>
      <c r="AD47" s="171">
        <v>124426.43</v>
      </c>
      <c r="AF47" s="171">
        <v>251418.06</v>
      </c>
      <c r="AG47" s="171">
        <v>167005.85</v>
      </c>
      <c r="AH47" s="171"/>
      <c r="AI47" s="174"/>
      <c r="AJ47" s="174" t="s">
        <v>50</v>
      </c>
      <c r="AK47" s="174"/>
    </row>
    <row r="48" spans="1:37" x14ac:dyDescent="0.3">
      <c r="A48" s="248">
        <f t="shared" si="33"/>
        <v>21</v>
      </c>
      <c r="B48" s="214" t="s">
        <v>55</v>
      </c>
      <c r="C48" s="162">
        <f t="shared" si="31"/>
        <v>858673.53999999992</v>
      </c>
      <c r="D48" s="162">
        <f t="shared" si="32"/>
        <v>0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>
        <f t="shared" si="34"/>
        <v>858673.53999999992</v>
      </c>
      <c r="X48" s="171"/>
      <c r="AD48" s="171">
        <v>225906.61</v>
      </c>
      <c r="AF48" s="171">
        <v>406499.81</v>
      </c>
      <c r="AG48" s="171">
        <v>226267.12</v>
      </c>
      <c r="AH48" s="174"/>
      <c r="AI48" s="174"/>
      <c r="AJ48" s="174" t="s">
        <v>54</v>
      </c>
      <c r="AK48" s="174"/>
    </row>
    <row r="49" spans="1:37" x14ac:dyDescent="0.3">
      <c r="A49" s="248">
        <f t="shared" si="33"/>
        <v>22</v>
      </c>
      <c r="B49" s="235" t="s">
        <v>157</v>
      </c>
      <c r="C49" s="236">
        <f t="shared" si="31"/>
        <v>881946.48</v>
      </c>
      <c r="D49" s="236">
        <f t="shared" si="32"/>
        <v>393267</v>
      </c>
      <c r="E49" s="236">
        <f>(2688*13)+(358323*1)</f>
        <v>393267</v>
      </c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>
        <v>13</v>
      </c>
      <c r="R49" s="236">
        <v>182039</v>
      </c>
      <c r="S49" s="236"/>
      <c r="T49" s="236"/>
      <c r="U49" s="236"/>
      <c r="V49" s="236"/>
      <c r="W49" s="236">
        <f t="shared" si="34"/>
        <v>306640.48</v>
      </c>
      <c r="X49" s="171"/>
      <c r="AD49" s="171">
        <v>190327.96</v>
      </c>
      <c r="AF49" s="171"/>
      <c r="AG49" s="171">
        <v>116312.52</v>
      </c>
      <c r="AH49" s="174"/>
      <c r="AI49" s="174"/>
      <c r="AJ49" s="174" t="s">
        <v>54</v>
      </c>
      <c r="AK49" s="174"/>
    </row>
    <row r="50" spans="1:37" x14ac:dyDescent="0.3">
      <c r="A50" s="248">
        <f t="shared" si="33"/>
        <v>23</v>
      </c>
      <c r="B50" s="235" t="s">
        <v>158</v>
      </c>
      <c r="C50" s="236">
        <f t="shared" si="31"/>
        <v>776662.74</v>
      </c>
      <c r="D50" s="236">
        <f t="shared" si="32"/>
        <v>0</v>
      </c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>
        <f t="shared" si="34"/>
        <v>776662.74</v>
      </c>
      <c r="X50" s="171"/>
      <c r="AD50" s="171">
        <v>204527.29</v>
      </c>
      <c r="AF50" s="171">
        <v>372243.46</v>
      </c>
      <c r="AG50" s="171">
        <v>199891.99</v>
      </c>
      <c r="AH50" s="174"/>
      <c r="AI50" s="174"/>
      <c r="AJ50" s="174" t="s">
        <v>50</v>
      </c>
      <c r="AK50" s="174"/>
    </row>
    <row r="51" spans="1:37" x14ac:dyDescent="0.3">
      <c r="A51" s="248">
        <f t="shared" si="33"/>
        <v>24</v>
      </c>
      <c r="B51" s="235" t="s">
        <v>159</v>
      </c>
      <c r="C51" s="236">
        <f t="shared" si="31"/>
        <v>803479.8</v>
      </c>
      <c r="D51" s="236">
        <f t="shared" si="32"/>
        <v>0</v>
      </c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>
        <f t="shared" si="34"/>
        <v>803479.8</v>
      </c>
      <c r="X51" s="171"/>
      <c r="AD51" s="171">
        <f>158307.02+208426.63+166480.57</f>
        <v>533214.22</v>
      </c>
      <c r="AF51" s="171">
        <v>270265.58</v>
      </c>
      <c r="AG51" s="171"/>
      <c r="AH51" s="174"/>
      <c r="AI51" s="174"/>
      <c r="AJ51" s="174" t="s">
        <v>161</v>
      </c>
      <c r="AK51" s="174"/>
    </row>
    <row r="52" spans="1:37" x14ac:dyDescent="0.3">
      <c r="A52" s="248">
        <f t="shared" ref="A52:A54" si="35">A51+1</f>
        <v>25</v>
      </c>
      <c r="B52" s="161" t="s">
        <v>214</v>
      </c>
      <c r="C52" s="168">
        <f t="shared" ref="C52" si="36">D52+K52+L52+N52+P52+R52+U52+S52+V52+W52</f>
        <v>133829</v>
      </c>
      <c r="D52" s="168">
        <f t="shared" ref="D52" si="37">E52+F52+G52+H52+I52</f>
        <v>0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>
        <f t="shared" si="34"/>
        <v>133829</v>
      </c>
      <c r="X52" s="171"/>
      <c r="AD52" s="171"/>
      <c r="AF52" s="169"/>
      <c r="AG52" s="172">
        <v>133829</v>
      </c>
      <c r="AH52" s="174"/>
      <c r="AI52" s="174"/>
      <c r="AJ52" s="174" t="s">
        <v>215</v>
      </c>
      <c r="AK52" s="174"/>
    </row>
    <row r="53" spans="1:37" x14ac:dyDescent="0.3">
      <c r="A53" s="248">
        <f t="shared" si="35"/>
        <v>26</v>
      </c>
      <c r="B53" s="214" t="s">
        <v>57</v>
      </c>
      <c r="C53" s="162">
        <f>D53+K53+L53+N53+P53+R53+U53+S53+V53+W53</f>
        <v>777297.84</v>
      </c>
      <c r="D53" s="162">
        <f>E53+F53+G53+H53+I53</f>
        <v>0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>
        <f t="shared" si="34"/>
        <v>777297.84</v>
      </c>
      <c r="X53" s="171"/>
      <c r="AD53" s="171">
        <v>226431.67</v>
      </c>
      <c r="AF53" s="169">
        <v>407341.18</v>
      </c>
      <c r="AG53" s="172">
        <v>143524.99</v>
      </c>
      <c r="AH53" s="173"/>
      <c r="AI53" s="174"/>
      <c r="AJ53" s="174" t="s">
        <v>45</v>
      </c>
      <c r="AK53" s="174"/>
    </row>
    <row r="54" spans="1:37" x14ac:dyDescent="0.3">
      <c r="A54" s="248">
        <f t="shared" si="35"/>
        <v>27</v>
      </c>
      <c r="B54" s="214" t="s">
        <v>58</v>
      </c>
      <c r="C54" s="162">
        <f>D54+K54+L54+N54+P54+R54+U54+S54+V54+W54</f>
        <v>729079.54</v>
      </c>
      <c r="D54" s="162">
        <f>E54+F54+G54+H54+I54</f>
        <v>0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>
        <f t="shared" si="34"/>
        <v>729079.54</v>
      </c>
      <c r="X54" s="171"/>
      <c r="AD54" s="171">
        <v>192824.94</v>
      </c>
      <c r="AF54" s="169">
        <v>353492.6</v>
      </c>
      <c r="AG54" s="172">
        <v>182762</v>
      </c>
      <c r="AH54" s="173"/>
      <c r="AI54" s="174"/>
      <c r="AJ54" s="174" t="s">
        <v>45</v>
      </c>
      <c r="AK54" s="174"/>
    </row>
    <row r="55" spans="1:37" x14ac:dyDescent="0.3">
      <c r="A55" s="247">
        <f>A54+1</f>
        <v>28</v>
      </c>
      <c r="B55" s="214" t="s">
        <v>59</v>
      </c>
      <c r="C55" s="162">
        <f>D55+K55+L55+N55+P55+R55+U55+S55+V55+W55</f>
        <v>729079.54</v>
      </c>
      <c r="D55" s="162">
        <f>E55+F55+G55+H55+I55</f>
        <v>0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>
        <f t="shared" si="34"/>
        <v>729079.54</v>
      </c>
      <c r="X55" s="171"/>
      <c r="AD55" s="171">
        <v>192824.94</v>
      </c>
      <c r="AF55" s="169">
        <v>353492.6</v>
      </c>
      <c r="AG55" s="172">
        <v>182762</v>
      </c>
      <c r="AH55" s="173"/>
      <c r="AI55" s="174"/>
      <c r="AJ55" s="174" t="s">
        <v>45</v>
      </c>
      <c r="AK55" s="174"/>
    </row>
    <row r="56" spans="1:37" x14ac:dyDescent="0.3">
      <c r="A56" s="247">
        <f>A55+1</f>
        <v>29</v>
      </c>
      <c r="B56" s="214" t="s">
        <v>60</v>
      </c>
      <c r="C56" s="162">
        <f>D56+K56+L56+N56+P56+R56+U56+S56+V56+W56</f>
        <v>859792.65999999992</v>
      </c>
      <c r="D56" s="162">
        <f>E56+F56+G56+H56+I56</f>
        <v>0</v>
      </c>
      <c r="E56" s="162"/>
      <c r="F56" s="162"/>
      <c r="G56" s="162">
        <v>0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>
        <f t="shared" si="34"/>
        <v>859792.65999999992</v>
      </c>
      <c r="X56" s="171"/>
      <c r="AD56" s="171">
        <v>227428.31</v>
      </c>
      <c r="AF56" s="169">
        <v>408938.11</v>
      </c>
      <c r="AG56" s="172">
        <v>223426.24</v>
      </c>
      <c r="AH56" s="173"/>
      <c r="AI56" s="174"/>
      <c r="AJ56" s="174" t="s">
        <v>45</v>
      </c>
      <c r="AK56" s="174"/>
    </row>
    <row r="57" spans="1:37" x14ac:dyDescent="0.3">
      <c r="A57" s="463" t="s">
        <v>35</v>
      </c>
      <c r="B57" s="464"/>
      <c r="C57" s="162">
        <f>SUM(C41:C56)</f>
        <v>11992718.34</v>
      </c>
      <c r="D57" s="162">
        <f t="shared" ref="D57:W57" si="38">SUM(D41:D56)</f>
        <v>393267</v>
      </c>
      <c r="E57" s="162">
        <f t="shared" si="38"/>
        <v>393267</v>
      </c>
      <c r="F57" s="162">
        <f t="shared" si="38"/>
        <v>0</v>
      </c>
      <c r="G57" s="162">
        <f t="shared" si="38"/>
        <v>0</v>
      </c>
      <c r="H57" s="162">
        <f t="shared" si="38"/>
        <v>0</v>
      </c>
      <c r="I57" s="162">
        <f t="shared" si="38"/>
        <v>0</v>
      </c>
      <c r="J57" s="162">
        <f t="shared" si="38"/>
        <v>0</v>
      </c>
      <c r="K57" s="162">
        <f t="shared" si="38"/>
        <v>0</v>
      </c>
      <c r="L57" s="162">
        <f t="shared" si="38"/>
        <v>0</v>
      </c>
      <c r="M57" s="162">
        <f t="shared" si="38"/>
        <v>0</v>
      </c>
      <c r="N57" s="162">
        <f t="shared" si="38"/>
        <v>0</v>
      </c>
      <c r="O57" s="162">
        <f t="shared" si="38"/>
        <v>0</v>
      </c>
      <c r="P57" s="162">
        <f t="shared" si="38"/>
        <v>0</v>
      </c>
      <c r="Q57" s="162">
        <f t="shared" si="38"/>
        <v>13</v>
      </c>
      <c r="R57" s="162">
        <f t="shared" si="38"/>
        <v>182039</v>
      </c>
      <c r="S57" s="162">
        <f t="shared" si="38"/>
        <v>0</v>
      </c>
      <c r="T57" s="162">
        <f t="shared" si="38"/>
        <v>0</v>
      </c>
      <c r="U57" s="162">
        <f t="shared" si="38"/>
        <v>0</v>
      </c>
      <c r="V57" s="162">
        <f t="shared" si="38"/>
        <v>0</v>
      </c>
      <c r="W57" s="162">
        <f t="shared" si="38"/>
        <v>11417412.34</v>
      </c>
      <c r="X57" s="171"/>
      <c r="Y57" s="169"/>
      <c r="Z57" s="172"/>
      <c r="AA57" s="173"/>
      <c r="AB57" s="173"/>
      <c r="AC57" s="174"/>
      <c r="AD57" s="174"/>
      <c r="AE57" s="174"/>
    </row>
    <row r="58" spans="1:37" x14ac:dyDescent="0.3">
      <c r="A58" s="461" t="s">
        <v>61</v>
      </c>
      <c r="B58" s="462"/>
      <c r="C58" s="208">
        <f t="shared" ref="C58:W58" si="39">C57</f>
        <v>11992718.34</v>
      </c>
      <c r="D58" s="208">
        <f t="shared" si="39"/>
        <v>393267</v>
      </c>
      <c r="E58" s="208">
        <f t="shared" si="39"/>
        <v>393267</v>
      </c>
      <c r="F58" s="208">
        <f t="shared" si="39"/>
        <v>0</v>
      </c>
      <c r="G58" s="208">
        <f t="shared" si="39"/>
        <v>0</v>
      </c>
      <c r="H58" s="208">
        <f t="shared" si="39"/>
        <v>0</v>
      </c>
      <c r="I58" s="208">
        <f t="shared" si="39"/>
        <v>0</v>
      </c>
      <c r="J58" s="208">
        <f t="shared" si="39"/>
        <v>0</v>
      </c>
      <c r="K58" s="208">
        <f t="shared" si="39"/>
        <v>0</v>
      </c>
      <c r="L58" s="208">
        <f t="shared" si="39"/>
        <v>0</v>
      </c>
      <c r="M58" s="208">
        <f t="shared" si="39"/>
        <v>0</v>
      </c>
      <c r="N58" s="208">
        <f t="shared" si="39"/>
        <v>0</v>
      </c>
      <c r="O58" s="208">
        <f t="shared" si="39"/>
        <v>0</v>
      </c>
      <c r="P58" s="208">
        <f t="shared" si="39"/>
        <v>0</v>
      </c>
      <c r="Q58" s="208">
        <f t="shared" si="39"/>
        <v>13</v>
      </c>
      <c r="R58" s="208">
        <f t="shared" si="39"/>
        <v>182039</v>
      </c>
      <c r="S58" s="208">
        <f t="shared" si="39"/>
        <v>0</v>
      </c>
      <c r="T58" s="208">
        <f t="shared" si="39"/>
        <v>0</v>
      </c>
      <c r="U58" s="208">
        <f t="shared" si="39"/>
        <v>0</v>
      </c>
      <c r="V58" s="208">
        <f t="shared" si="39"/>
        <v>0</v>
      </c>
      <c r="W58" s="208">
        <f t="shared" si="39"/>
        <v>11417412.34</v>
      </c>
      <c r="X58" s="171"/>
      <c r="Y58" s="169"/>
      <c r="Z58" s="172"/>
      <c r="AA58" s="173"/>
      <c r="AB58" s="173"/>
      <c r="AC58" s="174"/>
      <c r="AD58" s="174"/>
      <c r="AE58" s="174"/>
    </row>
    <row r="59" spans="1:37" ht="15" customHeight="1" x14ac:dyDescent="0.3">
      <c r="A59" s="476" t="s">
        <v>62</v>
      </c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8"/>
      <c r="X59" s="250"/>
      <c r="Y59" s="171"/>
      <c r="Z59" s="171"/>
      <c r="AA59" s="171"/>
      <c r="AB59" s="171"/>
      <c r="AC59" s="171"/>
      <c r="AD59" s="171"/>
      <c r="AE59" s="169"/>
      <c r="AF59" s="180"/>
      <c r="AG59" s="174"/>
      <c r="AH59" s="174"/>
      <c r="AI59" s="174"/>
      <c r="AJ59" s="174"/>
    </row>
    <row r="60" spans="1:37" ht="15" customHeight="1" x14ac:dyDescent="0.3">
      <c r="A60" s="246" t="s">
        <v>63</v>
      </c>
      <c r="B60" s="170"/>
      <c r="C60" s="162"/>
      <c r="D60" s="162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51"/>
      <c r="Y60" s="171"/>
      <c r="Z60" s="171"/>
      <c r="AA60" s="171"/>
      <c r="AB60" s="171"/>
      <c r="AC60" s="171"/>
      <c r="AD60" s="171"/>
      <c r="AE60" s="169"/>
      <c r="AF60" s="180"/>
      <c r="AG60" s="174"/>
      <c r="AH60" s="174"/>
      <c r="AI60" s="174"/>
      <c r="AJ60" s="174"/>
    </row>
    <row r="61" spans="1:37" x14ac:dyDescent="0.3">
      <c r="A61" s="247">
        <f>A56+1</f>
        <v>30</v>
      </c>
      <c r="B61" s="214" t="s">
        <v>64</v>
      </c>
      <c r="C61" s="162">
        <f>D61+K61+L61+N61+P61+R61+S61+U61+V61+W61</f>
        <v>34944</v>
      </c>
      <c r="D61" s="162">
        <f>E61+F61+G61+H61+I61</f>
        <v>34944</v>
      </c>
      <c r="E61" s="162">
        <f>13*2688</f>
        <v>34944</v>
      </c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212"/>
      <c r="Y61" s="162"/>
      <c r="Z61" s="171"/>
      <c r="AA61" s="171"/>
      <c r="AB61" s="171"/>
      <c r="AC61" s="171"/>
      <c r="AD61" s="171"/>
      <c r="AE61" s="171"/>
      <c r="AF61" s="169"/>
      <c r="AG61" s="180"/>
      <c r="AH61" s="174"/>
      <c r="AI61" s="174"/>
      <c r="AJ61" s="174"/>
    </row>
    <row r="62" spans="1:37" x14ac:dyDescent="0.3">
      <c r="A62" s="247">
        <f>A61+1</f>
        <v>31</v>
      </c>
      <c r="B62" s="161" t="s">
        <v>146</v>
      </c>
      <c r="C62" s="162">
        <f>D62+K62+L62+N62+P62+R62+S62+U62+V62+W62</f>
        <v>110000</v>
      </c>
      <c r="D62" s="162">
        <f>E62+F62+G62+H62+I62</f>
        <v>110000</v>
      </c>
      <c r="E62" s="168">
        <v>110000</v>
      </c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252"/>
      <c r="Y62" s="171"/>
      <c r="Z62" s="171"/>
      <c r="AA62" s="171"/>
      <c r="AB62" s="171"/>
      <c r="AC62" s="171"/>
      <c r="AD62" s="171"/>
      <c r="AE62" s="171"/>
      <c r="AF62" s="169"/>
      <c r="AG62" s="180"/>
      <c r="AH62" s="174"/>
      <c r="AI62" s="174"/>
      <c r="AJ62" s="174"/>
    </row>
    <row r="63" spans="1:37" x14ac:dyDescent="0.3">
      <c r="A63" s="463" t="s">
        <v>35</v>
      </c>
      <c r="B63" s="464"/>
      <c r="C63" s="162">
        <f>SUM(C61:C62)</f>
        <v>144944</v>
      </c>
      <c r="D63" s="162">
        <f t="shared" ref="D63:W63" si="40">SUM(D61:D62)</f>
        <v>144944</v>
      </c>
      <c r="E63" s="162">
        <f t="shared" si="40"/>
        <v>144944</v>
      </c>
      <c r="F63" s="162">
        <f t="shared" si="40"/>
        <v>0</v>
      </c>
      <c r="G63" s="162">
        <f t="shared" si="40"/>
        <v>0</v>
      </c>
      <c r="H63" s="162">
        <f t="shared" si="40"/>
        <v>0</v>
      </c>
      <c r="I63" s="162">
        <f t="shared" si="40"/>
        <v>0</v>
      </c>
      <c r="J63" s="162">
        <f t="shared" si="40"/>
        <v>0</v>
      </c>
      <c r="K63" s="162">
        <f t="shared" si="40"/>
        <v>0</v>
      </c>
      <c r="L63" s="162">
        <f t="shared" si="40"/>
        <v>0</v>
      </c>
      <c r="M63" s="162">
        <f t="shared" si="40"/>
        <v>0</v>
      </c>
      <c r="N63" s="162">
        <f t="shared" si="40"/>
        <v>0</v>
      </c>
      <c r="O63" s="162">
        <f t="shared" si="40"/>
        <v>0</v>
      </c>
      <c r="P63" s="162">
        <f t="shared" si="40"/>
        <v>0</v>
      </c>
      <c r="Q63" s="162">
        <f t="shared" si="40"/>
        <v>0</v>
      </c>
      <c r="R63" s="162">
        <f t="shared" si="40"/>
        <v>0</v>
      </c>
      <c r="S63" s="162">
        <f t="shared" si="40"/>
        <v>0</v>
      </c>
      <c r="T63" s="162">
        <f t="shared" si="40"/>
        <v>0</v>
      </c>
      <c r="U63" s="162">
        <f t="shared" si="40"/>
        <v>0</v>
      </c>
      <c r="V63" s="162">
        <f t="shared" si="40"/>
        <v>0</v>
      </c>
      <c r="W63" s="162">
        <f t="shared" si="40"/>
        <v>0</v>
      </c>
      <c r="X63" s="212"/>
      <c r="Y63" s="171"/>
      <c r="Z63" s="171"/>
      <c r="AA63" s="171"/>
      <c r="AB63" s="171"/>
      <c r="AC63" s="171"/>
      <c r="AD63" s="171"/>
      <c r="AE63" s="169"/>
      <c r="AF63" s="180"/>
      <c r="AG63" s="174"/>
      <c r="AH63" s="174"/>
      <c r="AI63" s="174"/>
      <c r="AJ63" s="174"/>
    </row>
    <row r="64" spans="1:37" x14ac:dyDescent="0.3">
      <c r="A64" s="461" t="s">
        <v>150</v>
      </c>
      <c r="B64" s="462"/>
      <c r="C64" s="253">
        <f t="shared" ref="C64:W64" si="41">SUM(C63)</f>
        <v>144944</v>
      </c>
      <c r="D64" s="253">
        <f t="shared" si="41"/>
        <v>144944</v>
      </c>
      <c r="E64" s="222">
        <f t="shared" si="41"/>
        <v>144944</v>
      </c>
      <c r="F64" s="222">
        <f t="shared" si="41"/>
        <v>0</v>
      </c>
      <c r="G64" s="222">
        <f t="shared" si="41"/>
        <v>0</v>
      </c>
      <c r="H64" s="222">
        <f t="shared" si="41"/>
        <v>0</v>
      </c>
      <c r="I64" s="222">
        <f t="shared" si="41"/>
        <v>0</v>
      </c>
      <c r="J64" s="222">
        <f t="shared" si="41"/>
        <v>0</v>
      </c>
      <c r="K64" s="222">
        <f t="shared" si="41"/>
        <v>0</v>
      </c>
      <c r="L64" s="222">
        <f t="shared" si="41"/>
        <v>0</v>
      </c>
      <c r="M64" s="222">
        <f t="shared" si="41"/>
        <v>0</v>
      </c>
      <c r="N64" s="222">
        <f t="shared" si="41"/>
        <v>0</v>
      </c>
      <c r="O64" s="222">
        <f t="shared" si="41"/>
        <v>0</v>
      </c>
      <c r="P64" s="222">
        <f t="shared" si="41"/>
        <v>0</v>
      </c>
      <c r="Q64" s="222">
        <f t="shared" si="41"/>
        <v>0</v>
      </c>
      <c r="R64" s="222">
        <f t="shared" si="41"/>
        <v>0</v>
      </c>
      <c r="S64" s="222">
        <f t="shared" si="41"/>
        <v>0</v>
      </c>
      <c r="T64" s="222">
        <f t="shared" si="41"/>
        <v>0</v>
      </c>
      <c r="U64" s="222">
        <f t="shared" si="41"/>
        <v>0</v>
      </c>
      <c r="V64" s="222">
        <f t="shared" si="41"/>
        <v>0</v>
      </c>
      <c r="W64" s="222">
        <f t="shared" si="41"/>
        <v>0</v>
      </c>
      <c r="X64" s="171"/>
      <c r="Y64" s="171"/>
      <c r="Z64" s="171"/>
      <c r="AA64" s="171"/>
      <c r="AB64" s="171"/>
      <c r="AC64" s="171"/>
      <c r="AD64" s="171"/>
      <c r="AE64" s="169"/>
      <c r="AF64" s="180"/>
      <c r="AG64" s="174"/>
      <c r="AH64" s="174"/>
      <c r="AI64" s="174"/>
      <c r="AJ64" s="174"/>
    </row>
    <row r="65" spans="1:35" x14ac:dyDescent="0.3">
      <c r="A65" s="458" t="s">
        <v>67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60"/>
      <c r="X65" s="254"/>
      <c r="Y65" s="169"/>
      <c r="Z65" s="180"/>
      <c r="AA65" s="255"/>
      <c r="AB65" s="174"/>
      <c r="AC65" s="174"/>
      <c r="AD65" s="174"/>
    </row>
    <row r="66" spans="1:35" x14ac:dyDescent="0.3">
      <c r="A66" s="256" t="s">
        <v>68</v>
      </c>
      <c r="B66" s="210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71"/>
      <c r="Y66" s="169"/>
      <c r="Z66" s="172"/>
      <c r="AA66" s="169"/>
      <c r="AB66" s="173"/>
      <c r="AC66" s="173"/>
      <c r="AD66" s="173"/>
    </row>
    <row r="67" spans="1:35" x14ac:dyDescent="0.3">
      <c r="A67" s="247">
        <f>A62+1</f>
        <v>32</v>
      </c>
      <c r="B67" s="161" t="s">
        <v>217</v>
      </c>
      <c r="C67" s="168">
        <f>D67+K67+L67+N67+P67+R67+S67+U67+V67+W67</f>
        <v>130000</v>
      </c>
      <c r="D67" s="168">
        <f>E67+F67+G67+H67+I67</f>
        <v>0</v>
      </c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>
        <v>130000</v>
      </c>
      <c r="X67" s="171"/>
      <c r="Y67" s="169"/>
      <c r="Z67" s="172"/>
      <c r="AA67" s="169"/>
      <c r="AB67" s="173"/>
      <c r="AC67" s="173"/>
      <c r="AD67" s="173"/>
    </row>
    <row r="68" spans="1:35" x14ac:dyDescent="0.3">
      <c r="A68" s="247">
        <f>A67+1</f>
        <v>33</v>
      </c>
      <c r="B68" s="214" t="s">
        <v>69</v>
      </c>
      <c r="C68" s="162">
        <f>D68+K68+L68+N68+P68+R68+S68+U68+V68+W68</f>
        <v>130000</v>
      </c>
      <c r="D68" s="162">
        <f>E68+F68+G68+H68+I68</f>
        <v>0</v>
      </c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>
        <v>130000</v>
      </c>
      <c r="X68" s="171"/>
      <c r="Y68" s="169"/>
      <c r="Z68" s="172"/>
      <c r="AA68" s="169"/>
      <c r="AB68" s="173"/>
      <c r="AC68" s="173"/>
      <c r="AD68" s="173"/>
    </row>
    <row r="69" spans="1:35" x14ac:dyDescent="0.3">
      <c r="A69" s="247">
        <f>A68+1</f>
        <v>34</v>
      </c>
      <c r="B69" s="214" t="s">
        <v>70</v>
      </c>
      <c r="C69" s="162">
        <f>D69+K69+L69+N69+P69+R69+S69+U69+V69+W69</f>
        <v>130000</v>
      </c>
      <c r="D69" s="162">
        <f>E69+F69+G69+H69+I69</f>
        <v>0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>
        <v>130000</v>
      </c>
      <c r="X69" s="171"/>
      <c r="Y69" s="169"/>
      <c r="Z69" s="172"/>
      <c r="AA69" s="169"/>
      <c r="AB69" s="173"/>
      <c r="AC69" s="173"/>
      <c r="AD69" s="173"/>
    </row>
    <row r="70" spans="1:35" x14ac:dyDescent="0.3">
      <c r="A70" s="247">
        <f>A69+1</f>
        <v>35</v>
      </c>
      <c r="B70" s="214" t="s">
        <v>71</v>
      </c>
      <c r="C70" s="162">
        <f>D70+K70+L70+N70+P70+R70+S70+U70+V70+W70</f>
        <v>130000</v>
      </c>
      <c r="D70" s="162">
        <f>E70+F70+G70+H70+I70</f>
        <v>0</v>
      </c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>
        <v>130000</v>
      </c>
      <c r="X70" s="171"/>
      <c r="Y70" s="169"/>
      <c r="Z70" s="172"/>
      <c r="AA70" s="169"/>
      <c r="AB70" s="173"/>
      <c r="AC70" s="173"/>
      <c r="AD70" s="173"/>
    </row>
    <row r="71" spans="1:35" x14ac:dyDescent="0.3">
      <c r="A71" s="257" t="s">
        <v>35</v>
      </c>
      <c r="B71" s="258"/>
      <c r="C71" s="162">
        <f t="shared" ref="C71:W71" si="42">SUM(C68:C70)</f>
        <v>390000</v>
      </c>
      <c r="D71" s="162">
        <f t="shared" si="42"/>
        <v>0</v>
      </c>
      <c r="E71" s="162">
        <f t="shared" si="42"/>
        <v>0</v>
      </c>
      <c r="F71" s="162">
        <f t="shared" si="42"/>
        <v>0</v>
      </c>
      <c r="G71" s="162">
        <f t="shared" si="42"/>
        <v>0</v>
      </c>
      <c r="H71" s="162">
        <f t="shared" si="42"/>
        <v>0</v>
      </c>
      <c r="I71" s="162">
        <f t="shared" si="42"/>
        <v>0</v>
      </c>
      <c r="J71" s="162">
        <f t="shared" si="42"/>
        <v>0</v>
      </c>
      <c r="K71" s="162">
        <f t="shared" si="42"/>
        <v>0</v>
      </c>
      <c r="L71" s="162">
        <f t="shared" si="42"/>
        <v>0</v>
      </c>
      <c r="M71" s="162">
        <f t="shared" si="42"/>
        <v>0</v>
      </c>
      <c r="N71" s="162">
        <f t="shared" si="42"/>
        <v>0</v>
      </c>
      <c r="O71" s="162">
        <f t="shared" si="42"/>
        <v>0</v>
      </c>
      <c r="P71" s="162">
        <f t="shared" si="42"/>
        <v>0</v>
      </c>
      <c r="Q71" s="162">
        <f t="shared" si="42"/>
        <v>0</v>
      </c>
      <c r="R71" s="162">
        <f t="shared" si="42"/>
        <v>0</v>
      </c>
      <c r="S71" s="162">
        <f t="shared" si="42"/>
        <v>0</v>
      </c>
      <c r="T71" s="162">
        <f t="shared" si="42"/>
        <v>0</v>
      </c>
      <c r="U71" s="162">
        <f t="shared" si="42"/>
        <v>0</v>
      </c>
      <c r="V71" s="162">
        <f t="shared" si="42"/>
        <v>0</v>
      </c>
      <c r="W71" s="162">
        <f t="shared" si="42"/>
        <v>390000</v>
      </c>
      <c r="X71" s="171"/>
      <c r="Y71" s="169"/>
      <c r="Z71" s="172"/>
      <c r="AA71" s="169"/>
      <c r="AB71" s="173"/>
      <c r="AC71" s="173"/>
      <c r="AD71" s="173"/>
    </row>
    <row r="72" spans="1:35" x14ac:dyDescent="0.3">
      <c r="A72" s="259" t="s">
        <v>171</v>
      </c>
      <c r="B72" s="260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171"/>
      <c r="Y72" s="169"/>
      <c r="Z72" s="261"/>
      <c r="AA72" s="169"/>
      <c r="AB72" s="173"/>
      <c r="AC72" s="173"/>
      <c r="AD72" s="173"/>
    </row>
    <row r="73" spans="1:35" x14ac:dyDescent="0.3">
      <c r="A73" s="247">
        <f>A70+1</f>
        <v>36</v>
      </c>
      <c r="B73" s="235" t="s">
        <v>172</v>
      </c>
      <c r="C73" s="236">
        <f>D73+K73+L73+N73+P73+R73+S73+U73+V73+W73</f>
        <v>580271.29</v>
      </c>
      <c r="D73" s="236">
        <f>E73+F73+G73+H73+I73</f>
        <v>0</v>
      </c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>
        <f>SUM(Y73:AD73)</f>
        <v>580271.29</v>
      </c>
      <c r="X73" s="171"/>
      <c r="Y73" s="169"/>
      <c r="Z73" s="261"/>
      <c r="AA73" s="169">
        <v>580271.29</v>
      </c>
      <c r="AB73" s="173"/>
      <c r="AC73" s="173"/>
      <c r="AD73" s="173"/>
    </row>
    <row r="74" spans="1:35" x14ac:dyDescent="0.3">
      <c r="A74" s="257" t="s">
        <v>35</v>
      </c>
      <c r="B74" s="258"/>
      <c r="C74" s="162">
        <f t="shared" ref="C74:W74" si="43">SUM(C73)</f>
        <v>580271.29</v>
      </c>
      <c r="D74" s="162">
        <f t="shared" si="43"/>
        <v>0</v>
      </c>
      <c r="E74" s="162">
        <f t="shared" si="43"/>
        <v>0</v>
      </c>
      <c r="F74" s="162">
        <f t="shared" si="43"/>
        <v>0</v>
      </c>
      <c r="G74" s="162">
        <f t="shared" si="43"/>
        <v>0</v>
      </c>
      <c r="H74" s="162">
        <f t="shared" si="43"/>
        <v>0</v>
      </c>
      <c r="I74" s="162">
        <f t="shared" si="43"/>
        <v>0</v>
      </c>
      <c r="J74" s="162">
        <f t="shared" si="43"/>
        <v>0</v>
      </c>
      <c r="K74" s="162">
        <f t="shared" si="43"/>
        <v>0</v>
      </c>
      <c r="L74" s="162">
        <f t="shared" si="43"/>
        <v>0</v>
      </c>
      <c r="M74" s="162">
        <f t="shared" si="43"/>
        <v>0</v>
      </c>
      <c r="N74" s="162">
        <f t="shared" si="43"/>
        <v>0</v>
      </c>
      <c r="O74" s="162">
        <f t="shared" si="43"/>
        <v>0</v>
      </c>
      <c r="P74" s="162">
        <f t="shared" si="43"/>
        <v>0</v>
      </c>
      <c r="Q74" s="162">
        <f t="shared" si="43"/>
        <v>0</v>
      </c>
      <c r="R74" s="162">
        <f t="shared" si="43"/>
        <v>0</v>
      </c>
      <c r="S74" s="162">
        <f t="shared" si="43"/>
        <v>0</v>
      </c>
      <c r="T74" s="162">
        <f t="shared" si="43"/>
        <v>0</v>
      </c>
      <c r="U74" s="162">
        <f t="shared" si="43"/>
        <v>0</v>
      </c>
      <c r="V74" s="162">
        <f t="shared" si="43"/>
        <v>0</v>
      </c>
      <c r="W74" s="162">
        <f t="shared" si="43"/>
        <v>580271.29</v>
      </c>
      <c r="X74" s="171"/>
      <c r="Y74" s="169"/>
      <c r="Z74" s="172"/>
      <c r="AA74" s="169"/>
      <c r="AB74" s="173"/>
      <c r="AC74" s="173"/>
      <c r="AD74" s="173"/>
    </row>
    <row r="75" spans="1:35" x14ac:dyDescent="0.3">
      <c r="A75" s="256" t="s">
        <v>72</v>
      </c>
      <c r="B75" s="210"/>
      <c r="C75" s="208">
        <f>C71+C74</f>
        <v>970271.29</v>
      </c>
      <c r="D75" s="208">
        <f t="shared" ref="D75:W75" si="44">D71</f>
        <v>0</v>
      </c>
      <c r="E75" s="208">
        <f t="shared" si="44"/>
        <v>0</v>
      </c>
      <c r="F75" s="208">
        <f t="shared" si="44"/>
        <v>0</v>
      </c>
      <c r="G75" s="208">
        <f t="shared" si="44"/>
        <v>0</v>
      </c>
      <c r="H75" s="208">
        <f t="shared" si="44"/>
        <v>0</v>
      </c>
      <c r="I75" s="208">
        <f t="shared" si="44"/>
        <v>0</v>
      </c>
      <c r="J75" s="208">
        <f t="shared" si="44"/>
        <v>0</v>
      </c>
      <c r="K75" s="208">
        <f t="shared" si="44"/>
        <v>0</v>
      </c>
      <c r="L75" s="208">
        <f t="shared" si="44"/>
        <v>0</v>
      </c>
      <c r="M75" s="208">
        <f t="shared" si="44"/>
        <v>0</v>
      </c>
      <c r="N75" s="208">
        <f t="shared" si="44"/>
        <v>0</v>
      </c>
      <c r="O75" s="208">
        <f t="shared" si="44"/>
        <v>0</v>
      </c>
      <c r="P75" s="208">
        <f t="shared" si="44"/>
        <v>0</v>
      </c>
      <c r="Q75" s="208">
        <f t="shared" si="44"/>
        <v>0</v>
      </c>
      <c r="R75" s="208">
        <f t="shared" si="44"/>
        <v>0</v>
      </c>
      <c r="S75" s="208">
        <f t="shared" si="44"/>
        <v>0</v>
      </c>
      <c r="T75" s="208">
        <f t="shared" si="44"/>
        <v>0</v>
      </c>
      <c r="U75" s="208">
        <f t="shared" si="44"/>
        <v>0</v>
      </c>
      <c r="V75" s="208">
        <f t="shared" si="44"/>
        <v>0</v>
      </c>
      <c r="W75" s="208">
        <f t="shared" si="44"/>
        <v>390000</v>
      </c>
      <c r="X75" s="171"/>
      <c r="Y75" s="169"/>
      <c r="Z75" s="261"/>
      <c r="AA75" s="169"/>
      <c r="AB75" s="173"/>
      <c r="AC75" s="173"/>
      <c r="AD75" s="173"/>
    </row>
    <row r="76" spans="1:35" s="244" customFormat="1" x14ac:dyDescent="0.3">
      <c r="A76" s="472" t="s">
        <v>173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/>
      <c r="R76" s="472"/>
      <c r="S76" s="472"/>
      <c r="T76" s="472"/>
      <c r="U76" s="472"/>
      <c r="V76" s="472"/>
      <c r="W76" s="472"/>
      <c r="X76" s="171">
        <f>C76-E76-F76-G76-H76-I76-N76-P76-R76-S76-U76-V76-W76</f>
        <v>0</v>
      </c>
      <c r="Y76" s="262"/>
      <c r="Z76" s="169"/>
      <c r="AA76" s="169"/>
      <c r="AB76" s="169"/>
      <c r="AC76" s="169"/>
      <c r="AD76" s="169"/>
      <c r="AE76" s="169"/>
      <c r="AF76" s="180"/>
      <c r="AG76" s="174"/>
      <c r="AH76" s="174"/>
      <c r="AI76" s="174"/>
    </row>
    <row r="77" spans="1:35" s="244" customFormat="1" ht="38.25" customHeight="1" x14ac:dyDescent="0.3">
      <c r="A77" s="470" t="s">
        <v>174</v>
      </c>
      <c r="B77" s="471"/>
      <c r="C77" s="263"/>
      <c r="D77" s="263"/>
      <c r="E77" s="263"/>
      <c r="F77" s="263"/>
      <c r="G77" s="263"/>
      <c r="H77" s="263"/>
      <c r="I77" s="263"/>
      <c r="J77" s="264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171">
        <f>C77-E77-F77-G77-H77-I77-N77-P77-R77-S77-U77-V77-W77</f>
        <v>0</v>
      </c>
      <c r="Y77" s="262"/>
      <c r="Z77" s="169"/>
      <c r="AA77" s="169"/>
      <c r="AB77" s="169"/>
      <c r="AC77" s="169"/>
      <c r="AD77" s="169"/>
      <c r="AE77" s="169"/>
      <c r="AF77" s="180"/>
      <c r="AG77" s="174"/>
      <c r="AH77" s="174"/>
      <c r="AI77" s="174"/>
    </row>
    <row r="78" spans="1:35" s="244" customFormat="1" ht="20.25" customHeight="1" x14ac:dyDescent="0.3">
      <c r="A78" s="247">
        <f>A73+1</f>
        <v>37</v>
      </c>
      <c r="B78" s="265" t="s">
        <v>175</v>
      </c>
      <c r="C78" s="236">
        <f>D78+K78+L78+N78+P78+R78+S78+U78+V78+W78</f>
        <v>23849624.359999999</v>
      </c>
      <c r="D78" s="236"/>
      <c r="E78" s="236"/>
      <c r="F78" s="236"/>
      <c r="G78" s="236"/>
      <c r="H78" s="236"/>
      <c r="I78" s="236"/>
      <c r="J78" s="266"/>
      <c r="K78" s="236"/>
      <c r="L78" s="236"/>
      <c r="M78" s="236"/>
      <c r="N78" s="236"/>
      <c r="O78" s="236"/>
      <c r="P78" s="236"/>
      <c r="Q78" s="236">
        <v>2016.37</v>
      </c>
      <c r="R78" s="236">
        <f>2016.37*(8187+3641)</f>
        <v>23849624.359999999</v>
      </c>
      <c r="S78" s="236"/>
      <c r="T78" s="236"/>
      <c r="U78" s="236"/>
      <c r="V78" s="236"/>
      <c r="W78" s="236"/>
      <c r="X78" s="171">
        <f>C78-E78-F78-G78-H78-I78-N78-P78-R78-S78-U78-V78-W78</f>
        <v>0</v>
      </c>
      <c r="Y78" s="171"/>
      <c r="Z78" s="169"/>
      <c r="AA78" s="169"/>
      <c r="AB78" s="169"/>
      <c r="AC78" s="169"/>
      <c r="AD78" s="169"/>
      <c r="AE78" s="169"/>
      <c r="AF78" s="180"/>
      <c r="AH78" s="174"/>
      <c r="AI78" s="174"/>
    </row>
    <row r="79" spans="1:35" x14ac:dyDescent="0.3">
      <c r="A79" s="257" t="s">
        <v>35</v>
      </c>
      <c r="B79" s="258"/>
      <c r="C79" s="162">
        <f t="shared" ref="C79:W79" si="45">SUM(C78)</f>
        <v>23849624.359999999</v>
      </c>
      <c r="D79" s="162">
        <f t="shared" si="45"/>
        <v>0</v>
      </c>
      <c r="E79" s="162">
        <f t="shared" si="45"/>
        <v>0</v>
      </c>
      <c r="F79" s="162">
        <f t="shared" si="45"/>
        <v>0</v>
      </c>
      <c r="G79" s="162">
        <f t="shared" si="45"/>
        <v>0</v>
      </c>
      <c r="H79" s="162">
        <f t="shared" si="45"/>
        <v>0</v>
      </c>
      <c r="I79" s="162">
        <f t="shared" si="45"/>
        <v>0</v>
      </c>
      <c r="J79" s="162">
        <f t="shared" si="45"/>
        <v>0</v>
      </c>
      <c r="K79" s="162">
        <f t="shared" si="45"/>
        <v>0</v>
      </c>
      <c r="L79" s="162">
        <f t="shared" si="45"/>
        <v>0</v>
      </c>
      <c r="M79" s="162">
        <f t="shared" si="45"/>
        <v>0</v>
      </c>
      <c r="N79" s="162">
        <f t="shared" si="45"/>
        <v>0</v>
      </c>
      <c r="O79" s="162">
        <f t="shared" si="45"/>
        <v>0</v>
      </c>
      <c r="P79" s="162">
        <f t="shared" si="45"/>
        <v>0</v>
      </c>
      <c r="Q79" s="162">
        <f t="shared" si="45"/>
        <v>2016.37</v>
      </c>
      <c r="R79" s="162">
        <f t="shared" si="45"/>
        <v>23849624.359999999</v>
      </c>
      <c r="S79" s="162">
        <f t="shared" si="45"/>
        <v>0</v>
      </c>
      <c r="T79" s="162">
        <f t="shared" si="45"/>
        <v>0</v>
      </c>
      <c r="U79" s="162">
        <f t="shared" si="45"/>
        <v>0</v>
      </c>
      <c r="V79" s="162">
        <f t="shared" si="45"/>
        <v>0</v>
      </c>
      <c r="W79" s="162">
        <f t="shared" si="45"/>
        <v>0</v>
      </c>
      <c r="X79" s="171"/>
      <c r="Y79" s="169"/>
      <c r="Z79" s="172"/>
      <c r="AA79" s="169"/>
      <c r="AB79" s="173"/>
      <c r="AC79" s="173"/>
      <c r="AD79" s="173"/>
    </row>
    <row r="80" spans="1:35" s="244" customFormat="1" x14ac:dyDescent="0.3">
      <c r="A80" s="474" t="s">
        <v>177</v>
      </c>
      <c r="B80" s="474"/>
      <c r="C80" s="236"/>
      <c r="D80" s="236"/>
      <c r="E80" s="236"/>
      <c r="F80" s="236"/>
      <c r="G80" s="236"/>
      <c r="H80" s="236"/>
      <c r="I80" s="236"/>
      <c r="J80" s="26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171">
        <f>C80-E80-F80-G80-H80-I80-N80-P80-R80-S80-U80-V80-W80</f>
        <v>0</v>
      </c>
      <c r="Y80" s="171"/>
      <c r="Z80" s="169"/>
      <c r="AA80" s="169"/>
      <c r="AB80" s="169"/>
      <c r="AC80" s="169"/>
      <c r="AD80" s="169"/>
      <c r="AE80" s="169"/>
      <c r="AF80" s="180"/>
      <c r="AG80" s="174"/>
      <c r="AH80" s="174"/>
      <c r="AI80" s="174"/>
    </row>
    <row r="81" spans="1:35" s="244" customFormat="1" x14ac:dyDescent="0.3">
      <c r="A81" s="267">
        <f>A78+1</f>
        <v>38</v>
      </c>
      <c r="B81" s="265" t="s">
        <v>178</v>
      </c>
      <c r="C81" s="236">
        <f>D81+K81+L81+N81+P81+R81+S81+U81+V81+W81</f>
        <v>305138.77</v>
      </c>
      <c r="D81" s="236"/>
      <c r="E81" s="236"/>
      <c r="F81" s="236"/>
      <c r="G81" s="236"/>
      <c r="H81" s="236"/>
      <c r="I81" s="236"/>
      <c r="J81" s="26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>
        <f>SUM(Z81:AJ81)</f>
        <v>305138.77</v>
      </c>
      <c r="X81" s="171">
        <f>C81-E81-F81-G81-H81-I81-N81-P81-R81-S81-U81-V81-W81</f>
        <v>0</v>
      </c>
      <c r="Y81" s="171"/>
      <c r="Z81" s="169"/>
      <c r="AA81" s="169"/>
      <c r="AB81" s="169"/>
      <c r="AC81" s="169"/>
      <c r="AD81" s="169"/>
      <c r="AE81" s="169">
        <v>305138.77</v>
      </c>
      <c r="AF81" s="180"/>
      <c r="AG81" s="174"/>
      <c r="AH81" s="174"/>
      <c r="AI81" s="174"/>
    </row>
    <row r="82" spans="1:35" x14ac:dyDescent="0.3">
      <c r="A82" s="257" t="s">
        <v>35</v>
      </c>
      <c r="B82" s="258"/>
      <c r="C82" s="162">
        <f t="shared" ref="C82:W82" si="46">SUM(C81)</f>
        <v>305138.77</v>
      </c>
      <c r="D82" s="162">
        <f t="shared" si="46"/>
        <v>0</v>
      </c>
      <c r="E82" s="162">
        <f t="shared" si="46"/>
        <v>0</v>
      </c>
      <c r="F82" s="162">
        <f t="shared" si="46"/>
        <v>0</v>
      </c>
      <c r="G82" s="162">
        <f t="shared" si="46"/>
        <v>0</v>
      </c>
      <c r="H82" s="162">
        <f t="shared" si="46"/>
        <v>0</v>
      </c>
      <c r="I82" s="162">
        <f t="shared" si="46"/>
        <v>0</v>
      </c>
      <c r="J82" s="162">
        <f t="shared" si="46"/>
        <v>0</v>
      </c>
      <c r="K82" s="162">
        <f t="shared" si="46"/>
        <v>0</v>
      </c>
      <c r="L82" s="162">
        <f t="shared" si="46"/>
        <v>0</v>
      </c>
      <c r="M82" s="162">
        <f t="shared" si="46"/>
        <v>0</v>
      </c>
      <c r="N82" s="162">
        <f t="shared" si="46"/>
        <v>0</v>
      </c>
      <c r="O82" s="162">
        <f t="shared" si="46"/>
        <v>0</v>
      </c>
      <c r="P82" s="162">
        <f t="shared" si="46"/>
        <v>0</v>
      </c>
      <c r="Q82" s="162">
        <f t="shared" si="46"/>
        <v>0</v>
      </c>
      <c r="R82" s="162">
        <f t="shared" si="46"/>
        <v>0</v>
      </c>
      <c r="S82" s="162">
        <f t="shared" si="46"/>
        <v>0</v>
      </c>
      <c r="T82" s="162">
        <f t="shared" si="46"/>
        <v>0</v>
      </c>
      <c r="U82" s="162">
        <f t="shared" si="46"/>
        <v>0</v>
      </c>
      <c r="V82" s="162">
        <f t="shared" si="46"/>
        <v>0</v>
      </c>
      <c r="W82" s="162">
        <f t="shared" si="46"/>
        <v>305138.77</v>
      </c>
      <c r="X82" s="171"/>
      <c r="Y82" s="169"/>
      <c r="Z82" s="172"/>
      <c r="AA82" s="169"/>
      <c r="AB82" s="173"/>
      <c r="AC82" s="173"/>
      <c r="AD82" s="173"/>
    </row>
    <row r="83" spans="1:35" x14ac:dyDescent="0.3">
      <c r="A83" s="259" t="s">
        <v>179</v>
      </c>
      <c r="B83" s="260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171"/>
      <c r="Y83" s="169"/>
      <c r="Z83" s="169"/>
      <c r="AA83" s="169"/>
      <c r="AB83" s="169"/>
      <c r="AC83" s="169"/>
      <c r="AD83" s="180"/>
      <c r="AE83" s="174"/>
      <c r="AF83" s="174"/>
      <c r="AG83" s="174"/>
      <c r="AH83" s="174"/>
    </row>
    <row r="84" spans="1:35" x14ac:dyDescent="0.3">
      <c r="A84" s="267">
        <f>A81+1</f>
        <v>39</v>
      </c>
      <c r="B84" s="235" t="s">
        <v>180</v>
      </c>
      <c r="C84" s="236">
        <f>D84+K84+L84+N84+P84+R84+S84+U84+V84+W84</f>
        <v>431312.18</v>
      </c>
      <c r="D84" s="236">
        <f>E84+F84+G84+H84+I84</f>
        <v>0</v>
      </c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>
        <f>SUM(Y84:AH84)</f>
        <v>431312.18</v>
      </c>
      <c r="X84" s="171"/>
      <c r="Y84" s="169"/>
      <c r="Z84" s="169"/>
      <c r="AA84" s="169"/>
      <c r="AB84" s="169"/>
      <c r="AC84" s="169">
        <v>391320.55</v>
      </c>
      <c r="AD84" s="180">
        <v>39991.629999999997</v>
      </c>
      <c r="AE84" s="174"/>
      <c r="AF84" s="174"/>
      <c r="AG84" s="174"/>
      <c r="AH84" s="174"/>
    </row>
    <row r="85" spans="1:35" x14ac:dyDescent="0.3">
      <c r="A85" s="257" t="s">
        <v>35</v>
      </c>
      <c r="B85" s="258"/>
      <c r="C85" s="162">
        <f t="shared" ref="C85:W85" si="47">SUM(C84)</f>
        <v>431312.18</v>
      </c>
      <c r="D85" s="162">
        <f t="shared" si="47"/>
        <v>0</v>
      </c>
      <c r="E85" s="162">
        <f t="shared" si="47"/>
        <v>0</v>
      </c>
      <c r="F85" s="162">
        <f t="shared" si="47"/>
        <v>0</v>
      </c>
      <c r="G85" s="162">
        <f t="shared" si="47"/>
        <v>0</v>
      </c>
      <c r="H85" s="162">
        <f t="shared" si="47"/>
        <v>0</v>
      </c>
      <c r="I85" s="162">
        <f t="shared" si="47"/>
        <v>0</v>
      </c>
      <c r="J85" s="162">
        <f t="shared" si="47"/>
        <v>0</v>
      </c>
      <c r="K85" s="162">
        <f t="shared" si="47"/>
        <v>0</v>
      </c>
      <c r="L85" s="162">
        <f t="shared" si="47"/>
        <v>0</v>
      </c>
      <c r="M85" s="162">
        <f t="shared" si="47"/>
        <v>0</v>
      </c>
      <c r="N85" s="162">
        <f t="shared" si="47"/>
        <v>0</v>
      </c>
      <c r="O85" s="162">
        <f t="shared" si="47"/>
        <v>0</v>
      </c>
      <c r="P85" s="162">
        <f t="shared" si="47"/>
        <v>0</v>
      </c>
      <c r="Q85" s="162">
        <f t="shared" si="47"/>
        <v>0</v>
      </c>
      <c r="R85" s="162">
        <f t="shared" si="47"/>
        <v>0</v>
      </c>
      <c r="S85" s="162">
        <f t="shared" si="47"/>
        <v>0</v>
      </c>
      <c r="T85" s="162">
        <f t="shared" si="47"/>
        <v>0</v>
      </c>
      <c r="U85" s="162">
        <f t="shared" si="47"/>
        <v>0</v>
      </c>
      <c r="V85" s="162">
        <f t="shared" si="47"/>
        <v>0</v>
      </c>
      <c r="W85" s="162">
        <f t="shared" si="47"/>
        <v>431312.18</v>
      </c>
      <c r="X85" s="171"/>
      <c r="Y85" s="169"/>
      <c r="Z85" s="172"/>
      <c r="AA85" s="169"/>
      <c r="AB85" s="173"/>
      <c r="AC85" s="173"/>
      <c r="AD85" s="173"/>
    </row>
    <row r="86" spans="1:35" x14ac:dyDescent="0.3">
      <c r="A86" s="268" t="s">
        <v>235</v>
      </c>
      <c r="B86" s="269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71"/>
      <c r="Y86" s="169"/>
      <c r="Z86" s="169"/>
      <c r="AA86" s="169"/>
      <c r="AB86" s="169"/>
      <c r="AC86" s="169"/>
      <c r="AD86" s="180"/>
      <c r="AE86" s="174"/>
      <c r="AF86" s="174"/>
      <c r="AG86" s="174"/>
      <c r="AH86" s="174"/>
    </row>
    <row r="87" spans="1:35" x14ac:dyDescent="0.3">
      <c r="A87" s="267">
        <f>A84+1</f>
        <v>40</v>
      </c>
      <c r="B87" s="161" t="s">
        <v>236</v>
      </c>
      <c r="C87" s="168">
        <f>D87+K87+L87+N87+P87+R87+S87+U87+V87+W87</f>
        <v>596302.76</v>
      </c>
      <c r="D87" s="168">
        <f>E87+F87+G87+H87+I87</f>
        <v>0</v>
      </c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>
        <f>SUM(Y87:AH87)</f>
        <v>596302.76</v>
      </c>
      <c r="X87" s="171"/>
      <c r="Y87" s="169"/>
      <c r="Z87" s="169"/>
      <c r="AA87" s="169"/>
      <c r="AB87" s="169"/>
      <c r="AC87" s="169">
        <v>413601.99</v>
      </c>
      <c r="AD87" s="180">
        <v>182700.77</v>
      </c>
      <c r="AE87" s="174"/>
      <c r="AF87" s="174"/>
      <c r="AG87" s="174"/>
      <c r="AH87" s="174"/>
    </row>
    <row r="88" spans="1:35" x14ac:dyDescent="0.3">
      <c r="A88" s="257" t="s">
        <v>35</v>
      </c>
      <c r="B88" s="258"/>
      <c r="C88" s="162">
        <f t="shared" ref="C88:W88" si="48">SUM(C87)</f>
        <v>596302.76</v>
      </c>
      <c r="D88" s="162">
        <f t="shared" si="48"/>
        <v>0</v>
      </c>
      <c r="E88" s="162">
        <f t="shared" si="48"/>
        <v>0</v>
      </c>
      <c r="F88" s="162">
        <f t="shared" si="48"/>
        <v>0</v>
      </c>
      <c r="G88" s="162">
        <f t="shared" si="48"/>
        <v>0</v>
      </c>
      <c r="H88" s="162">
        <f t="shared" si="48"/>
        <v>0</v>
      </c>
      <c r="I88" s="162">
        <f t="shared" si="48"/>
        <v>0</v>
      </c>
      <c r="J88" s="162">
        <f t="shared" si="48"/>
        <v>0</v>
      </c>
      <c r="K88" s="162">
        <f t="shared" si="48"/>
        <v>0</v>
      </c>
      <c r="L88" s="162">
        <f t="shared" si="48"/>
        <v>0</v>
      </c>
      <c r="M88" s="162">
        <f t="shared" si="48"/>
        <v>0</v>
      </c>
      <c r="N88" s="162">
        <f t="shared" si="48"/>
        <v>0</v>
      </c>
      <c r="O88" s="162">
        <f t="shared" si="48"/>
        <v>0</v>
      </c>
      <c r="P88" s="162">
        <f t="shared" si="48"/>
        <v>0</v>
      </c>
      <c r="Q88" s="162">
        <f t="shared" si="48"/>
        <v>0</v>
      </c>
      <c r="R88" s="162">
        <f t="shared" si="48"/>
        <v>0</v>
      </c>
      <c r="S88" s="162">
        <f t="shared" si="48"/>
        <v>0</v>
      </c>
      <c r="T88" s="162">
        <f t="shared" si="48"/>
        <v>0</v>
      </c>
      <c r="U88" s="162">
        <f t="shared" si="48"/>
        <v>0</v>
      </c>
      <c r="V88" s="162">
        <f t="shared" si="48"/>
        <v>0</v>
      </c>
      <c r="W88" s="162">
        <f t="shared" si="48"/>
        <v>596302.76</v>
      </c>
      <c r="X88" s="171"/>
      <c r="Y88" s="169"/>
      <c r="Z88" s="172"/>
      <c r="AA88" s="169"/>
      <c r="AB88" s="173"/>
      <c r="AC88" s="173"/>
      <c r="AD88" s="173"/>
    </row>
    <row r="89" spans="1:35" x14ac:dyDescent="0.3">
      <c r="A89" s="259" t="s">
        <v>181</v>
      </c>
      <c r="B89" s="260"/>
      <c r="C89" s="236"/>
      <c r="D89" s="236">
        <f>E89+F89+G89+H89+I89</f>
        <v>0</v>
      </c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171"/>
      <c r="Y89" s="169"/>
      <c r="Z89" s="169"/>
      <c r="AA89" s="169"/>
      <c r="AB89" s="169"/>
      <c r="AC89" s="169"/>
      <c r="AD89" s="180"/>
      <c r="AE89" s="174"/>
      <c r="AF89" s="174"/>
      <c r="AG89" s="174"/>
      <c r="AH89" s="174"/>
    </row>
    <row r="90" spans="1:35" x14ac:dyDescent="0.3">
      <c r="A90" s="267">
        <f>A87+1</f>
        <v>41</v>
      </c>
      <c r="B90" s="235" t="s">
        <v>182</v>
      </c>
      <c r="C90" s="236">
        <f>D90+K90+L90+N90+P90+R90+S90+U90+V90+W90</f>
        <v>1035984.08</v>
      </c>
      <c r="D90" s="236">
        <f>E90+F90+G90+H90+I90</f>
        <v>1035984.08</v>
      </c>
      <c r="E90" s="236">
        <v>1035984.08</v>
      </c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171" t="s">
        <v>50</v>
      </c>
      <c r="Y90" s="169"/>
      <c r="Z90" s="169"/>
      <c r="AA90" s="169"/>
      <c r="AB90" s="169"/>
      <c r="AC90" s="169"/>
      <c r="AD90" s="180">
        <v>212527.87</v>
      </c>
      <c r="AE90" s="174"/>
      <c r="AF90" s="174"/>
      <c r="AG90" s="174"/>
      <c r="AH90" s="174"/>
    </row>
    <row r="91" spans="1:35" x14ac:dyDescent="0.3">
      <c r="A91" s="248">
        <f>A90+1</f>
        <v>42</v>
      </c>
      <c r="B91" s="235" t="s">
        <v>183</v>
      </c>
      <c r="C91" s="236">
        <f>D91+K91+L91+N91+P91+R91+S91+U91+V91+W91</f>
        <v>1035984.08</v>
      </c>
      <c r="D91" s="236">
        <f>E91+F91+G91+H91+I91</f>
        <v>1035984.08</v>
      </c>
      <c r="E91" s="236">
        <v>1035984.08</v>
      </c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171" t="s">
        <v>50</v>
      </c>
      <c r="Y91" s="169"/>
      <c r="Z91" s="169"/>
      <c r="AA91" s="169"/>
      <c r="AB91" s="169"/>
      <c r="AC91" s="169"/>
      <c r="AD91" s="180">
        <v>212105.15</v>
      </c>
      <c r="AE91" s="174"/>
      <c r="AF91" s="174"/>
      <c r="AG91" s="174"/>
      <c r="AH91" s="174"/>
    </row>
    <row r="92" spans="1:35" x14ac:dyDescent="0.3">
      <c r="A92" s="248">
        <f>A91+1</f>
        <v>43</v>
      </c>
      <c r="B92" s="235" t="s">
        <v>184</v>
      </c>
      <c r="C92" s="236">
        <f>D92+K92+L92+N92+P92+R92+S92+U92+V92+W92</f>
        <v>790000</v>
      </c>
      <c r="D92" s="236">
        <f>E92+F92+G92+H92+I92</f>
        <v>0</v>
      </c>
      <c r="E92" s="236"/>
      <c r="F92" s="236"/>
      <c r="G92" s="236"/>
      <c r="H92" s="236"/>
      <c r="I92" s="236"/>
      <c r="J92" s="236"/>
      <c r="K92" s="236"/>
      <c r="L92" s="236"/>
      <c r="M92" s="236">
        <v>1046.5</v>
      </c>
      <c r="N92" s="236">
        <v>790000</v>
      </c>
      <c r="O92" s="236"/>
      <c r="P92" s="236"/>
      <c r="Q92" s="236"/>
      <c r="R92" s="236"/>
      <c r="S92" s="236"/>
      <c r="T92" s="236"/>
      <c r="U92" s="236"/>
      <c r="V92" s="236"/>
      <c r="W92" s="236"/>
      <c r="X92" s="171" t="s">
        <v>13</v>
      </c>
      <c r="Y92" s="169"/>
      <c r="Z92" s="169"/>
      <c r="AA92" s="169"/>
      <c r="AB92" s="169"/>
      <c r="AC92" s="169"/>
      <c r="AD92" s="180"/>
      <c r="AE92" s="174"/>
      <c r="AF92" s="174"/>
      <c r="AG92" s="174"/>
      <c r="AH92" s="174"/>
    </row>
    <row r="93" spans="1:35" x14ac:dyDescent="0.3">
      <c r="A93" s="270" t="s">
        <v>35</v>
      </c>
      <c r="B93" s="271"/>
      <c r="C93" s="236">
        <f>SUM(C90:C92)</f>
        <v>2861968.16</v>
      </c>
      <c r="D93" s="236">
        <f t="shared" ref="D93:W93" si="49">SUM(D90:D92)</f>
        <v>2071968.16</v>
      </c>
      <c r="E93" s="236">
        <f t="shared" si="49"/>
        <v>2071968.16</v>
      </c>
      <c r="F93" s="236">
        <f t="shared" si="49"/>
        <v>0</v>
      </c>
      <c r="G93" s="236">
        <f t="shared" si="49"/>
        <v>0</v>
      </c>
      <c r="H93" s="236">
        <f t="shared" si="49"/>
        <v>0</v>
      </c>
      <c r="I93" s="236">
        <f t="shared" si="49"/>
        <v>0</v>
      </c>
      <c r="J93" s="236">
        <f t="shared" si="49"/>
        <v>0</v>
      </c>
      <c r="K93" s="236">
        <f t="shared" si="49"/>
        <v>0</v>
      </c>
      <c r="L93" s="236">
        <f t="shared" si="49"/>
        <v>0</v>
      </c>
      <c r="M93" s="236">
        <f t="shared" si="49"/>
        <v>1046.5</v>
      </c>
      <c r="N93" s="236">
        <f t="shared" si="49"/>
        <v>790000</v>
      </c>
      <c r="O93" s="236">
        <f t="shared" si="49"/>
        <v>0</v>
      </c>
      <c r="P93" s="236">
        <f t="shared" si="49"/>
        <v>0</v>
      </c>
      <c r="Q93" s="236">
        <f t="shared" si="49"/>
        <v>0</v>
      </c>
      <c r="R93" s="236">
        <f t="shared" si="49"/>
        <v>0</v>
      </c>
      <c r="S93" s="236">
        <f t="shared" si="49"/>
        <v>0</v>
      </c>
      <c r="T93" s="236">
        <f t="shared" si="49"/>
        <v>0</v>
      </c>
      <c r="U93" s="236">
        <f t="shared" si="49"/>
        <v>0</v>
      </c>
      <c r="V93" s="236">
        <f t="shared" si="49"/>
        <v>0</v>
      </c>
      <c r="W93" s="236">
        <f t="shared" si="49"/>
        <v>0</v>
      </c>
      <c r="X93" s="171"/>
      <c r="Y93" s="169"/>
      <c r="Z93" s="169"/>
      <c r="AA93" s="169"/>
      <c r="AB93" s="169"/>
      <c r="AC93" s="169"/>
      <c r="AD93" s="180"/>
      <c r="AE93" s="174"/>
      <c r="AF93" s="174"/>
      <c r="AG93" s="174"/>
      <c r="AH93" s="174"/>
    </row>
    <row r="94" spans="1:35" x14ac:dyDescent="0.3">
      <c r="A94" s="268" t="s">
        <v>237</v>
      </c>
      <c r="B94" s="269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71"/>
      <c r="Y94" s="169"/>
      <c r="Z94" s="169"/>
      <c r="AA94" s="169"/>
      <c r="AB94" s="169"/>
      <c r="AC94" s="169"/>
      <c r="AD94" s="180"/>
      <c r="AE94" s="174"/>
      <c r="AF94" s="174"/>
      <c r="AG94" s="174"/>
      <c r="AH94" s="174"/>
    </row>
    <row r="95" spans="1:35" x14ac:dyDescent="0.3">
      <c r="A95" s="267">
        <f>A92+1</f>
        <v>44</v>
      </c>
      <c r="B95" s="161" t="s">
        <v>238</v>
      </c>
      <c r="C95" s="168">
        <f>D95+K95+L95+N95+P95+R95+S95+U95+V95+W95</f>
        <v>493967.67</v>
      </c>
      <c r="D95" s="168">
        <f>E95+F95+G95+H95+I95</f>
        <v>389668</v>
      </c>
      <c r="E95" s="168"/>
      <c r="F95" s="168"/>
      <c r="G95" s="168"/>
      <c r="H95" s="168"/>
      <c r="I95" s="236">
        <v>389668</v>
      </c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>
        <f>SUM(Y95:AH95)</f>
        <v>104299.67</v>
      </c>
      <c r="X95" s="171"/>
      <c r="Y95" s="169"/>
      <c r="Z95" s="169">
        <v>104299.67</v>
      </c>
      <c r="AA95" s="169"/>
      <c r="AB95" s="169"/>
      <c r="AC95" s="169"/>
      <c r="AD95" s="180"/>
      <c r="AE95" s="174"/>
      <c r="AF95" s="174"/>
      <c r="AG95" s="174"/>
      <c r="AH95" s="174"/>
    </row>
    <row r="96" spans="1:35" x14ac:dyDescent="0.3">
      <c r="A96" s="257" t="s">
        <v>35</v>
      </c>
      <c r="B96" s="258"/>
      <c r="C96" s="162">
        <f t="shared" ref="C96:W96" si="50">SUM(C95)</f>
        <v>493967.67</v>
      </c>
      <c r="D96" s="162">
        <f t="shared" si="50"/>
        <v>389668</v>
      </c>
      <c r="E96" s="162">
        <f t="shared" si="50"/>
        <v>0</v>
      </c>
      <c r="F96" s="162">
        <f t="shared" si="50"/>
        <v>0</v>
      </c>
      <c r="G96" s="162">
        <f t="shared" si="50"/>
        <v>0</v>
      </c>
      <c r="H96" s="162">
        <f t="shared" si="50"/>
        <v>0</v>
      </c>
      <c r="I96" s="162">
        <f t="shared" si="50"/>
        <v>389668</v>
      </c>
      <c r="J96" s="162">
        <f t="shared" si="50"/>
        <v>0</v>
      </c>
      <c r="K96" s="162">
        <f t="shared" si="50"/>
        <v>0</v>
      </c>
      <c r="L96" s="162">
        <f t="shared" si="50"/>
        <v>0</v>
      </c>
      <c r="M96" s="162">
        <f t="shared" si="50"/>
        <v>0</v>
      </c>
      <c r="N96" s="162">
        <f t="shared" si="50"/>
        <v>0</v>
      </c>
      <c r="O96" s="162">
        <f t="shared" si="50"/>
        <v>0</v>
      </c>
      <c r="P96" s="162">
        <f t="shared" si="50"/>
        <v>0</v>
      </c>
      <c r="Q96" s="162">
        <f t="shared" si="50"/>
        <v>0</v>
      </c>
      <c r="R96" s="162">
        <f t="shared" si="50"/>
        <v>0</v>
      </c>
      <c r="S96" s="162">
        <f t="shared" si="50"/>
        <v>0</v>
      </c>
      <c r="T96" s="162">
        <f t="shared" si="50"/>
        <v>0</v>
      </c>
      <c r="U96" s="162">
        <f t="shared" si="50"/>
        <v>0</v>
      </c>
      <c r="V96" s="162">
        <f t="shared" si="50"/>
        <v>0</v>
      </c>
      <c r="W96" s="162">
        <f t="shared" si="50"/>
        <v>104299.67</v>
      </c>
      <c r="X96" s="171"/>
      <c r="Y96" s="169"/>
      <c r="Z96" s="172"/>
      <c r="AA96" s="169"/>
      <c r="AB96" s="173"/>
      <c r="AC96" s="173"/>
      <c r="AD96" s="173"/>
    </row>
    <row r="97" spans="1:40" s="244" customFormat="1" x14ac:dyDescent="0.3">
      <c r="A97" s="473" t="s">
        <v>176</v>
      </c>
      <c r="B97" s="473"/>
      <c r="C97" s="263">
        <f>C79+C82+C85+C93+C88+C96</f>
        <v>28538313.900000002</v>
      </c>
      <c r="D97" s="263">
        <f t="shared" ref="D97:W97" si="51">D79+D82+D85+D93+D88+D96</f>
        <v>2461636.16</v>
      </c>
      <c r="E97" s="263">
        <f t="shared" si="51"/>
        <v>2071968.16</v>
      </c>
      <c r="F97" s="263">
        <f t="shared" si="51"/>
        <v>0</v>
      </c>
      <c r="G97" s="263">
        <f t="shared" si="51"/>
        <v>0</v>
      </c>
      <c r="H97" s="263">
        <f t="shared" si="51"/>
        <v>0</v>
      </c>
      <c r="I97" s="263">
        <f t="shared" si="51"/>
        <v>389668</v>
      </c>
      <c r="J97" s="263">
        <f t="shared" si="51"/>
        <v>0</v>
      </c>
      <c r="K97" s="263">
        <f t="shared" si="51"/>
        <v>0</v>
      </c>
      <c r="L97" s="263">
        <f t="shared" si="51"/>
        <v>0</v>
      </c>
      <c r="M97" s="263">
        <f t="shared" si="51"/>
        <v>1046.5</v>
      </c>
      <c r="N97" s="263">
        <f t="shared" si="51"/>
        <v>790000</v>
      </c>
      <c r="O97" s="263">
        <f t="shared" si="51"/>
        <v>0</v>
      </c>
      <c r="P97" s="263">
        <f t="shared" si="51"/>
        <v>0</v>
      </c>
      <c r="Q97" s="263">
        <f t="shared" si="51"/>
        <v>2016.37</v>
      </c>
      <c r="R97" s="263">
        <f t="shared" si="51"/>
        <v>23849624.359999999</v>
      </c>
      <c r="S97" s="263">
        <f t="shared" si="51"/>
        <v>0</v>
      </c>
      <c r="T97" s="263">
        <f t="shared" si="51"/>
        <v>0</v>
      </c>
      <c r="U97" s="263">
        <f t="shared" si="51"/>
        <v>0</v>
      </c>
      <c r="V97" s="263">
        <f t="shared" si="51"/>
        <v>0</v>
      </c>
      <c r="W97" s="263">
        <f t="shared" si="51"/>
        <v>1437053.38</v>
      </c>
      <c r="X97" s="171">
        <f>C97-E97-F97-G97-H97-I97-N97-P97-R97-S97-U97-V97-W97</f>
        <v>2.7939677238464355E-9</v>
      </c>
      <c r="Y97" s="171"/>
      <c r="Z97" s="169"/>
      <c r="AA97" s="169"/>
      <c r="AB97" s="169"/>
      <c r="AC97" s="169"/>
      <c r="AD97" s="169"/>
      <c r="AE97" s="169"/>
      <c r="AF97" s="180"/>
      <c r="AG97" s="174"/>
      <c r="AH97" s="174"/>
      <c r="AI97" s="174"/>
    </row>
    <row r="98" spans="1:40" x14ac:dyDescent="0.3">
      <c r="A98" s="448" t="s">
        <v>73</v>
      </c>
      <c r="B98" s="449"/>
      <c r="C98" s="449"/>
      <c r="D98" s="449"/>
      <c r="E98" s="449"/>
      <c r="F98" s="449"/>
      <c r="G98" s="449"/>
      <c r="H98" s="449"/>
      <c r="I98" s="449"/>
      <c r="J98" s="449"/>
      <c r="K98" s="449"/>
      <c r="L98" s="449"/>
      <c r="M98" s="449"/>
      <c r="N98" s="449"/>
      <c r="O98" s="449"/>
      <c r="P98" s="449"/>
      <c r="Q98" s="449"/>
      <c r="R98" s="449"/>
      <c r="S98" s="449"/>
      <c r="T98" s="449"/>
      <c r="U98" s="449"/>
      <c r="V98" s="449"/>
      <c r="W98" s="450"/>
      <c r="X98" s="254"/>
      <c r="Y98" s="262" t="s">
        <v>74</v>
      </c>
      <c r="Z98" s="262" t="s">
        <v>75</v>
      </c>
      <c r="AA98" s="262" t="s">
        <v>76</v>
      </c>
      <c r="AB98" s="169" t="s">
        <v>77</v>
      </c>
      <c r="AC98" s="169" t="s">
        <v>78</v>
      </c>
      <c r="AD98" s="169"/>
      <c r="AE98" s="180"/>
      <c r="AF98" s="174"/>
      <c r="AG98" s="174"/>
      <c r="AH98" s="174"/>
      <c r="AI98" s="174"/>
      <c r="AJ98" s="174"/>
      <c r="AK98" s="174"/>
      <c r="AL98" s="174"/>
      <c r="AM98" s="174"/>
      <c r="AN98" s="174"/>
    </row>
    <row r="99" spans="1:40" x14ac:dyDescent="0.3">
      <c r="A99" s="256" t="s">
        <v>79</v>
      </c>
      <c r="B99" s="210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71"/>
      <c r="Y99" s="171"/>
      <c r="Z99" s="171"/>
      <c r="AA99" s="171"/>
      <c r="AB99" s="171"/>
      <c r="AC99" s="169"/>
      <c r="AD99" s="169"/>
      <c r="AE99" s="180"/>
      <c r="AF99" s="174"/>
      <c r="AG99" s="174"/>
      <c r="AH99" s="174"/>
      <c r="AI99" s="174"/>
      <c r="AJ99" s="174"/>
      <c r="AK99" s="174"/>
      <c r="AL99" s="174"/>
      <c r="AM99" s="174"/>
      <c r="AN99" s="174"/>
    </row>
    <row r="100" spans="1:40" x14ac:dyDescent="0.3">
      <c r="A100" s="248">
        <f>A95+1</f>
        <v>45</v>
      </c>
      <c r="B100" s="214" t="s">
        <v>80</v>
      </c>
      <c r="C100" s="162">
        <f>D100+K100+L100+N100+P100+R100+S100+U100+V100+W100</f>
        <v>231370.32</v>
      </c>
      <c r="D100" s="162">
        <f>E100+F100+G100+H100+I100</f>
        <v>0</v>
      </c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>
        <f>SUM(Y100:AI100)</f>
        <v>231370.32</v>
      </c>
      <c r="X100" s="171"/>
      <c r="Y100" s="171"/>
      <c r="Z100" s="171"/>
      <c r="AA100" s="171"/>
      <c r="AB100" s="171"/>
      <c r="AC100" s="169">
        <v>231370.32</v>
      </c>
      <c r="AD100" s="169"/>
      <c r="AE100" s="180"/>
      <c r="AF100" s="174"/>
      <c r="AG100" s="174"/>
      <c r="AH100" s="174"/>
      <c r="AI100" s="174"/>
      <c r="AJ100" s="174"/>
      <c r="AK100" s="174"/>
      <c r="AL100" s="174"/>
      <c r="AM100" s="174"/>
      <c r="AN100" s="174"/>
    </row>
    <row r="101" spans="1:40" x14ac:dyDescent="0.3">
      <c r="A101" s="247">
        <f>A100+1</f>
        <v>46</v>
      </c>
      <c r="B101" s="214" t="s">
        <v>81</v>
      </c>
      <c r="C101" s="162">
        <f>D101+K101+L101+N101+P101+R101+S101+U101+V101+W101</f>
        <v>1258107.4100000001</v>
      </c>
      <c r="D101" s="162">
        <f>E101+F101+G101+H101+I101</f>
        <v>0</v>
      </c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>
        <f>SUM(Y101:AI101)</f>
        <v>1258107.4100000001</v>
      </c>
      <c r="X101" s="171"/>
      <c r="Y101" s="171"/>
      <c r="Z101" s="171"/>
      <c r="AA101" s="171"/>
      <c r="AB101" s="171"/>
      <c r="AC101" s="169">
        <v>181709.87</v>
      </c>
      <c r="AD101" s="169"/>
      <c r="AE101" s="180"/>
      <c r="AF101" s="174">
        <v>1076397.54</v>
      </c>
      <c r="AG101" s="174"/>
      <c r="AH101" s="174"/>
      <c r="AI101" s="174"/>
      <c r="AJ101" s="174"/>
      <c r="AK101" s="174"/>
      <c r="AL101" s="174"/>
      <c r="AM101" s="174"/>
      <c r="AN101" s="174"/>
    </row>
    <row r="102" spans="1:40" x14ac:dyDescent="0.3">
      <c r="A102" s="257" t="s">
        <v>35</v>
      </c>
      <c r="B102" s="258"/>
      <c r="C102" s="162">
        <f t="shared" ref="C102:W102" si="52">SUM(C100:C101)</f>
        <v>1489477.7300000002</v>
      </c>
      <c r="D102" s="162">
        <f t="shared" si="52"/>
        <v>0</v>
      </c>
      <c r="E102" s="162">
        <f t="shared" si="52"/>
        <v>0</v>
      </c>
      <c r="F102" s="162">
        <f t="shared" si="52"/>
        <v>0</v>
      </c>
      <c r="G102" s="162">
        <f t="shared" si="52"/>
        <v>0</v>
      </c>
      <c r="H102" s="162">
        <f t="shared" si="52"/>
        <v>0</v>
      </c>
      <c r="I102" s="162">
        <f t="shared" si="52"/>
        <v>0</v>
      </c>
      <c r="J102" s="162">
        <f t="shared" si="52"/>
        <v>0</v>
      </c>
      <c r="K102" s="162">
        <f t="shared" si="52"/>
        <v>0</v>
      </c>
      <c r="L102" s="162">
        <f t="shared" si="52"/>
        <v>0</v>
      </c>
      <c r="M102" s="162">
        <f t="shared" si="52"/>
        <v>0</v>
      </c>
      <c r="N102" s="162">
        <f t="shared" si="52"/>
        <v>0</v>
      </c>
      <c r="O102" s="162">
        <f t="shared" si="52"/>
        <v>0</v>
      </c>
      <c r="P102" s="162">
        <f t="shared" si="52"/>
        <v>0</v>
      </c>
      <c r="Q102" s="162">
        <f t="shared" si="52"/>
        <v>0</v>
      </c>
      <c r="R102" s="162">
        <f t="shared" si="52"/>
        <v>0</v>
      </c>
      <c r="S102" s="162">
        <f t="shared" si="52"/>
        <v>0</v>
      </c>
      <c r="T102" s="162">
        <f t="shared" si="52"/>
        <v>0</v>
      </c>
      <c r="U102" s="162">
        <f t="shared" si="52"/>
        <v>0</v>
      </c>
      <c r="V102" s="162">
        <f t="shared" si="52"/>
        <v>0</v>
      </c>
      <c r="W102" s="162">
        <f t="shared" si="52"/>
        <v>1489477.7300000002</v>
      </c>
      <c r="X102" s="171"/>
      <c r="Y102" s="171"/>
      <c r="Z102" s="171"/>
      <c r="AA102" s="171"/>
      <c r="AB102" s="171"/>
      <c r="AC102" s="169"/>
      <c r="AD102" s="169"/>
      <c r="AE102" s="180"/>
      <c r="AF102" s="174"/>
      <c r="AG102" s="174"/>
      <c r="AH102" s="174"/>
      <c r="AI102" s="174"/>
      <c r="AJ102" s="174"/>
      <c r="AK102" s="174"/>
      <c r="AL102" s="174"/>
      <c r="AM102" s="174"/>
      <c r="AN102" s="174"/>
    </row>
    <row r="103" spans="1:40" x14ac:dyDescent="0.3">
      <c r="A103" s="256" t="s">
        <v>82</v>
      </c>
      <c r="B103" s="210"/>
      <c r="C103" s="208">
        <f t="shared" ref="C103:W103" si="53">C102</f>
        <v>1489477.7300000002</v>
      </c>
      <c r="D103" s="208">
        <f t="shared" si="53"/>
        <v>0</v>
      </c>
      <c r="E103" s="208">
        <f t="shared" si="53"/>
        <v>0</v>
      </c>
      <c r="F103" s="208">
        <f t="shared" si="53"/>
        <v>0</v>
      </c>
      <c r="G103" s="208">
        <f t="shared" si="53"/>
        <v>0</v>
      </c>
      <c r="H103" s="208">
        <f t="shared" si="53"/>
        <v>0</v>
      </c>
      <c r="I103" s="208">
        <f t="shared" si="53"/>
        <v>0</v>
      </c>
      <c r="J103" s="208">
        <f t="shared" si="53"/>
        <v>0</v>
      </c>
      <c r="K103" s="208">
        <f t="shared" si="53"/>
        <v>0</v>
      </c>
      <c r="L103" s="208">
        <f t="shared" si="53"/>
        <v>0</v>
      </c>
      <c r="M103" s="208">
        <f t="shared" si="53"/>
        <v>0</v>
      </c>
      <c r="N103" s="208">
        <f t="shared" si="53"/>
        <v>0</v>
      </c>
      <c r="O103" s="208">
        <f t="shared" si="53"/>
        <v>0</v>
      </c>
      <c r="P103" s="208">
        <f t="shared" si="53"/>
        <v>0</v>
      </c>
      <c r="Q103" s="208">
        <f t="shared" si="53"/>
        <v>0</v>
      </c>
      <c r="R103" s="208">
        <f t="shared" si="53"/>
        <v>0</v>
      </c>
      <c r="S103" s="208">
        <f t="shared" si="53"/>
        <v>0</v>
      </c>
      <c r="T103" s="208">
        <f t="shared" si="53"/>
        <v>0</v>
      </c>
      <c r="U103" s="208">
        <f t="shared" si="53"/>
        <v>0</v>
      </c>
      <c r="V103" s="208">
        <f t="shared" si="53"/>
        <v>0</v>
      </c>
      <c r="W103" s="208">
        <f t="shared" si="53"/>
        <v>1489477.7300000002</v>
      </c>
      <c r="X103" s="171"/>
      <c r="Y103" s="171"/>
      <c r="Z103" s="171"/>
      <c r="AA103" s="171"/>
      <c r="AB103" s="171"/>
      <c r="AC103" s="169"/>
      <c r="AD103" s="169"/>
      <c r="AE103" s="180"/>
      <c r="AF103" s="174"/>
      <c r="AG103" s="174"/>
      <c r="AH103" s="174"/>
      <c r="AI103" s="174"/>
      <c r="AJ103" s="174"/>
      <c r="AK103" s="174"/>
      <c r="AL103" s="174"/>
      <c r="AM103" s="174"/>
      <c r="AN103" s="174"/>
    </row>
    <row r="104" spans="1:40" x14ac:dyDescent="0.3">
      <c r="A104" s="445" t="s">
        <v>185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7"/>
      <c r="X104" s="272"/>
      <c r="Y104" s="226"/>
      <c r="Z104" s="226"/>
      <c r="AA104" s="236"/>
      <c r="AB104" s="236"/>
      <c r="AC104" s="273"/>
      <c r="AD104" s="267"/>
      <c r="AE104" s="174"/>
      <c r="AF104" s="236"/>
      <c r="AG104" s="273"/>
      <c r="AH104" s="267"/>
      <c r="AI104" s="174"/>
    </row>
    <row r="105" spans="1:40" s="244" customFormat="1" x14ac:dyDescent="0.3">
      <c r="A105" s="247">
        <f>A101+1</f>
        <v>47</v>
      </c>
      <c r="B105" s="265" t="s">
        <v>186</v>
      </c>
      <c r="C105" s="236">
        <f>D105+K105+L105+N105+P105+R105+S105+U105+V105+W105</f>
        <v>1674074.6</v>
      </c>
      <c r="D105" s="236"/>
      <c r="E105" s="236"/>
      <c r="F105" s="236"/>
      <c r="G105" s="236"/>
      <c r="H105" s="236"/>
      <c r="I105" s="236"/>
      <c r="J105" s="266"/>
      <c r="K105" s="236"/>
      <c r="L105" s="236"/>
      <c r="M105" s="236"/>
      <c r="N105" s="236"/>
      <c r="O105" s="236"/>
      <c r="P105" s="236"/>
      <c r="Q105" s="274"/>
      <c r="R105" s="236"/>
      <c r="S105" s="236"/>
      <c r="T105" s="236"/>
      <c r="U105" s="236"/>
      <c r="V105" s="236"/>
      <c r="W105" s="236">
        <f>SUM(Z105:AH105)</f>
        <v>1674074.6</v>
      </c>
      <c r="X105" s="171">
        <f>C105-E105-F105-G105-H105-I105-N105-P105-R105-S105-U105-V105-W105</f>
        <v>0</v>
      </c>
      <c r="Y105" s="227"/>
      <c r="Z105" s="227"/>
      <c r="AA105" s="275"/>
      <c r="AB105" s="236"/>
      <c r="AD105" s="275"/>
      <c r="AF105" s="236">
        <v>509157.89</v>
      </c>
      <c r="AG105" s="276">
        <v>78772.39</v>
      </c>
      <c r="AH105" s="236">
        <v>1086144.32</v>
      </c>
    </row>
    <row r="106" spans="1:40" s="244" customFormat="1" x14ac:dyDescent="0.3">
      <c r="A106" s="247">
        <f>A105+1</f>
        <v>48</v>
      </c>
      <c r="B106" s="175" t="s">
        <v>239</v>
      </c>
      <c r="C106" s="168">
        <f>D106+K106+L106+N106+P106+R106+S106+U106+V106+W106</f>
        <v>1422241.51</v>
      </c>
      <c r="D106" s="168"/>
      <c r="E106" s="168"/>
      <c r="F106" s="168"/>
      <c r="G106" s="168"/>
      <c r="H106" s="168"/>
      <c r="I106" s="168"/>
      <c r="J106" s="243"/>
      <c r="K106" s="168"/>
      <c r="L106" s="168"/>
      <c r="M106" s="168"/>
      <c r="N106" s="168"/>
      <c r="O106" s="168"/>
      <c r="P106" s="168"/>
      <c r="Q106" s="277"/>
      <c r="R106" s="168"/>
      <c r="S106" s="168"/>
      <c r="T106" s="168"/>
      <c r="U106" s="168"/>
      <c r="V106" s="168"/>
      <c r="W106" s="168">
        <f>SUM(Z106:AH106)</f>
        <v>1422241.51</v>
      </c>
      <c r="X106" s="171">
        <f>C106-E106-F106-G106-H106-I106-N106-P106-R106-S106-U106-V106-W106</f>
        <v>0</v>
      </c>
      <c r="Y106" s="227"/>
      <c r="Z106" s="227"/>
      <c r="AA106" s="275"/>
      <c r="AB106" s="168"/>
      <c r="AD106" s="275">
        <v>160770.85</v>
      </c>
      <c r="AF106" s="168">
        <v>341884.93</v>
      </c>
      <c r="AG106" s="278">
        <v>106470.59</v>
      </c>
      <c r="AH106" s="168">
        <v>813115.14</v>
      </c>
    </row>
    <row r="107" spans="1:40" s="244" customFormat="1" x14ac:dyDescent="0.3">
      <c r="A107" s="247">
        <f t="shared" ref="A107:A108" si="54">A106+1</f>
        <v>49</v>
      </c>
      <c r="B107" s="265" t="s">
        <v>187</v>
      </c>
      <c r="C107" s="236">
        <f>D107+K107+L107+N107+P107+R107+S107+U107+V107+W107</f>
        <v>1852399.63</v>
      </c>
      <c r="D107" s="236"/>
      <c r="E107" s="236"/>
      <c r="F107" s="236"/>
      <c r="G107" s="236"/>
      <c r="H107" s="236"/>
      <c r="I107" s="236"/>
      <c r="J107" s="266"/>
      <c r="K107" s="236"/>
      <c r="L107" s="236"/>
      <c r="M107" s="236"/>
      <c r="N107" s="236"/>
      <c r="O107" s="236"/>
      <c r="P107" s="236"/>
      <c r="Q107" s="274"/>
      <c r="R107" s="236"/>
      <c r="S107" s="236"/>
      <c r="T107" s="236"/>
      <c r="U107" s="236"/>
      <c r="V107" s="236"/>
      <c r="W107" s="236">
        <f>SUM(Z107:AH107)</f>
        <v>1852399.63</v>
      </c>
      <c r="X107" s="171">
        <f>C107-E107-F107-G107-H107-I107-N107-P107-R107-S107-U107-V107-W107</f>
        <v>0</v>
      </c>
      <c r="Y107" s="227"/>
      <c r="Z107" s="227"/>
      <c r="AA107" s="275"/>
      <c r="AB107" s="236"/>
      <c r="AD107" s="275"/>
      <c r="AF107" s="236">
        <v>395398.32</v>
      </c>
      <c r="AG107" s="276">
        <v>515295.55</v>
      </c>
      <c r="AH107" s="236">
        <v>941705.76</v>
      </c>
    </row>
    <row r="108" spans="1:40" s="244" customFormat="1" x14ac:dyDescent="0.3">
      <c r="A108" s="247">
        <f t="shared" si="54"/>
        <v>50</v>
      </c>
      <c r="B108" s="265" t="s">
        <v>189</v>
      </c>
      <c r="C108" s="236">
        <f>D108+K108+L108+N108+P108+R108+S108+U108+V108+W108</f>
        <v>1609576.82</v>
      </c>
      <c r="D108" s="236"/>
      <c r="E108" s="236"/>
      <c r="F108" s="236"/>
      <c r="G108" s="236"/>
      <c r="H108" s="236"/>
      <c r="I108" s="236"/>
      <c r="J108" s="266"/>
      <c r="K108" s="236"/>
      <c r="L108" s="236"/>
      <c r="M108" s="236"/>
      <c r="N108" s="236"/>
      <c r="O108" s="236"/>
      <c r="P108" s="236"/>
      <c r="Q108" s="274"/>
      <c r="R108" s="236"/>
      <c r="S108" s="236"/>
      <c r="T108" s="236"/>
      <c r="U108" s="236"/>
      <c r="V108" s="236"/>
      <c r="W108" s="236">
        <f>SUM(Z108:AH108)</f>
        <v>1609576.82</v>
      </c>
      <c r="X108" s="171">
        <f>C108-E108-F108-G108-H108-I108-N108-P108-R108-S108-U108-V108-W108</f>
        <v>0</v>
      </c>
      <c r="Y108" s="227"/>
      <c r="Z108" s="227"/>
      <c r="AA108" s="275"/>
      <c r="AB108" s="236"/>
      <c r="AD108" s="275"/>
      <c r="AF108" s="236"/>
      <c r="AG108" s="276">
        <v>537730.46</v>
      </c>
      <c r="AH108" s="236">
        <v>1071846.3600000001</v>
      </c>
    </row>
    <row r="109" spans="1:40" s="286" customFormat="1" x14ac:dyDescent="0.3">
      <c r="A109" s="256" t="s">
        <v>35</v>
      </c>
      <c r="B109" s="210"/>
      <c r="C109" s="208">
        <f t="shared" ref="C109:W109" si="55">SUM(C105:C108)</f>
        <v>6558292.5600000005</v>
      </c>
      <c r="D109" s="208">
        <f t="shared" si="55"/>
        <v>0</v>
      </c>
      <c r="E109" s="208">
        <f t="shared" si="55"/>
        <v>0</v>
      </c>
      <c r="F109" s="208">
        <f t="shared" si="55"/>
        <v>0</v>
      </c>
      <c r="G109" s="208">
        <f t="shared" si="55"/>
        <v>0</v>
      </c>
      <c r="H109" s="208">
        <f t="shared" si="55"/>
        <v>0</v>
      </c>
      <c r="I109" s="208">
        <f t="shared" si="55"/>
        <v>0</v>
      </c>
      <c r="J109" s="208">
        <f t="shared" si="55"/>
        <v>0</v>
      </c>
      <c r="K109" s="208">
        <f t="shared" si="55"/>
        <v>0</v>
      </c>
      <c r="L109" s="208">
        <f t="shared" si="55"/>
        <v>0</v>
      </c>
      <c r="M109" s="208">
        <f t="shared" si="55"/>
        <v>0</v>
      </c>
      <c r="N109" s="208">
        <f t="shared" si="55"/>
        <v>0</v>
      </c>
      <c r="O109" s="208">
        <f t="shared" si="55"/>
        <v>0</v>
      </c>
      <c r="P109" s="208">
        <f t="shared" si="55"/>
        <v>0</v>
      </c>
      <c r="Q109" s="208">
        <f t="shared" si="55"/>
        <v>0</v>
      </c>
      <c r="R109" s="208">
        <f t="shared" si="55"/>
        <v>0</v>
      </c>
      <c r="S109" s="208">
        <f t="shared" si="55"/>
        <v>0</v>
      </c>
      <c r="T109" s="208">
        <f t="shared" si="55"/>
        <v>0</v>
      </c>
      <c r="U109" s="208">
        <f t="shared" si="55"/>
        <v>0</v>
      </c>
      <c r="V109" s="208">
        <f t="shared" si="55"/>
        <v>0</v>
      </c>
      <c r="W109" s="208">
        <f t="shared" si="55"/>
        <v>6558292.5600000005</v>
      </c>
      <c r="X109" s="262"/>
      <c r="Y109" s="284"/>
      <c r="Z109" s="285"/>
      <c r="AA109" s="284"/>
      <c r="AB109" s="203"/>
      <c r="AC109" s="203"/>
      <c r="AD109" s="203"/>
    </row>
    <row r="110" spans="1:40" x14ac:dyDescent="0.3">
      <c r="A110" s="448" t="s">
        <v>83</v>
      </c>
      <c r="B110" s="449"/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50"/>
      <c r="X110" s="254"/>
      <c r="Y110" s="169"/>
      <c r="Z110" s="169"/>
      <c r="AA110" s="169"/>
      <c r="AB110" s="169"/>
      <c r="AC110" s="169"/>
      <c r="AD110" s="169"/>
      <c r="AE110" s="169"/>
      <c r="AF110" s="180"/>
      <c r="AG110" s="174"/>
      <c r="AH110" s="174"/>
      <c r="AI110" s="174"/>
      <c r="AJ110" s="174"/>
    </row>
    <row r="111" spans="1:40" x14ac:dyDescent="0.3">
      <c r="A111" s="256" t="s">
        <v>84</v>
      </c>
      <c r="B111" s="210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71"/>
      <c r="Y111" s="169"/>
      <c r="Z111" s="169"/>
      <c r="AA111" s="169"/>
      <c r="AB111" s="169"/>
      <c r="AC111" s="169"/>
      <c r="AD111" s="169"/>
      <c r="AE111" s="169"/>
      <c r="AF111" s="180"/>
      <c r="AG111" s="174"/>
      <c r="AH111" s="174"/>
      <c r="AI111" s="174"/>
      <c r="AJ111" s="174"/>
    </row>
    <row r="112" spans="1:40" x14ac:dyDescent="0.3">
      <c r="A112" s="247">
        <f>A108+1</f>
        <v>51</v>
      </c>
      <c r="B112" s="214" t="s">
        <v>85</v>
      </c>
      <c r="C112" s="162">
        <f>D112+K112+L112+N112+P112+R112+S112+U112+V112+W112</f>
        <v>130000</v>
      </c>
      <c r="D112" s="162">
        <f>E112+F112+G112+H112</f>
        <v>0</v>
      </c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>
        <v>130000</v>
      </c>
      <c r="X112" s="171"/>
      <c r="Y112" s="169"/>
      <c r="Z112" s="169"/>
      <c r="AA112" s="169"/>
      <c r="AB112" s="169"/>
      <c r="AC112" s="169"/>
      <c r="AD112" s="169"/>
      <c r="AE112" s="169"/>
      <c r="AF112" s="180"/>
      <c r="AG112" s="174"/>
      <c r="AH112" s="174"/>
      <c r="AI112" s="174"/>
      <c r="AJ112" s="174"/>
    </row>
    <row r="113" spans="1:36" x14ac:dyDescent="0.3">
      <c r="A113" s="257" t="s">
        <v>35</v>
      </c>
      <c r="B113" s="258"/>
      <c r="C113" s="162">
        <f>C112</f>
        <v>130000</v>
      </c>
      <c r="D113" s="162">
        <f t="shared" ref="D113:W113" si="56">D112</f>
        <v>0</v>
      </c>
      <c r="E113" s="162">
        <f t="shared" si="56"/>
        <v>0</v>
      </c>
      <c r="F113" s="162">
        <f t="shared" si="56"/>
        <v>0</v>
      </c>
      <c r="G113" s="162">
        <f t="shared" si="56"/>
        <v>0</v>
      </c>
      <c r="H113" s="162">
        <f t="shared" si="56"/>
        <v>0</v>
      </c>
      <c r="I113" s="162">
        <f t="shared" si="56"/>
        <v>0</v>
      </c>
      <c r="J113" s="162">
        <f t="shared" si="56"/>
        <v>0</v>
      </c>
      <c r="K113" s="162">
        <f t="shared" si="56"/>
        <v>0</v>
      </c>
      <c r="L113" s="162">
        <f t="shared" si="56"/>
        <v>0</v>
      </c>
      <c r="M113" s="162">
        <f t="shared" si="56"/>
        <v>0</v>
      </c>
      <c r="N113" s="162">
        <f t="shared" si="56"/>
        <v>0</v>
      </c>
      <c r="O113" s="162">
        <f t="shared" si="56"/>
        <v>0</v>
      </c>
      <c r="P113" s="162">
        <f t="shared" si="56"/>
        <v>0</v>
      </c>
      <c r="Q113" s="162">
        <f t="shared" si="56"/>
        <v>0</v>
      </c>
      <c r="R113" s="162">
        <f t="shared" si="56"/>
        <v>0</v>
      </c>
      <c r="S113" s="162">
        <f t="shared" si="56"/>
        <v>0</v>
      </c>
      <c r="T113" s="162">
        <f t="shared" si="56"/>
        <v>0</v>
      </c>
      <c r="U113" s="162">
        <f t="shared" si="56"/>
        <v>0</v>
      </c>
      <c r="V113" s="162">
        <f t="shared" si="56"/>
        <v>0</v>
      </c>
      <c r="W113" s="162">
        <f t="shared" si="56"/>
        <v>130000</v>
      </c>
      <c r="X113" s="171"/>
      <c r="Y113" s="169"/>
      <c r="Z113" s="169"/>
      <c r="AA113" s="169"/>
      <c r="AB113" s="169"/>
      <c r="AC113" s="169"/>
      <c r="AD113" s="169"/>
      <c r="AE113" s="169"/>
      <c r="AF113" s="180"/>
      <c r="AG113" s="174"/>
      <c r="AH113" s="174"/>
      <c r="AI113" s="174"/>
      <c r="AJ113" s="174"/>
    </row>
    <row r="114" spans="1:36" x14ac:dyDescent="0.3">
      <c r="A114" s="367" t="s">
        <v>86</v>
      </c>
      <c r="B114" s="368"/>
      <c r="C114" s="208">
        <f>C113</f>
        <v>130000</v>
      </c>
      <c r="D114" s="208">
        <f t="shared" ref="D114:W114" si="57">D113</f>
        <v>0</v>
      </c>
      <c r="E114" s="208">
        <f t="shared" si="57"/>
        <v>0</v>
      </c>
      <c r="F114" s="208">
        <f t="shared" si="57"/>
        <v>0</v>
      </c>
      <c r="G114" s="208">
        <f t="shared" si="57"/>
        <v>0</v>
      </c>
      <c r="H114" s="208">
        <f t="shared" si="57"/>
        <v>0</v>
      </c>
      <c r="I114" s="208">
        <f t="shared" si="57"/>
        <v>0</v>
      </c>
      <c r="J114" s="208">
        <f t="shared" si="57"/>
        <v>0</v>
      </c>
      <c r="K114" s="208">
        <f t="shared" si="57"/>
        <v>0</v>
      </c>
      <c r="L114" s="208">
        <f t="shared" si="57"/>
        <v>0</v>
      </c>
      <c r="M114" s="208">
        <f t="shared" si="57"/>
        <v>0</v>
      </c>
      <c r="N114" s="208">
        <f t="shared" si="57"/>
        <v>0</v>
      </c>
      <c r="O114" s="208">
        <f t="shared" si="57"/>
        <v>0</v>
      </c>
      <c r="P114" s="208">
        <f t="shared" si="57"/>
        <v>0</v>
      </c>
      <c r="Q114" s="208">
        <f t="shared" si="57"/>
        <v>0</v>
      </c>
      <c r="R114" s="208">
        <f t="shared" si="57"/>
        <v>0</v>
      </c>
      <c r="S114" s="208">
        <f t="shared" si="57"/>
        <v>0</v>
      </c>
      <c r="T114" s="208">
        <f t="shared" si="57"/>
        <v>0</v>
      </c>
      <c r="U114" s="208">
        <f t="shared" si="57"/>
        <v>0</v>
      </c>
      <c r="V114" s="208">
        <f t="shared" si="57"/>
        <v>0</v>
      </c>
      <c r="W114" s="208">
        <f t="shared" si="57"/>
        <v>130000</v>
      </c>
      <c r="X114" s="171"/>
      <c r="Y114" s="169"/>
      <c r="Z114" s="169"/>
      <c r="AA114" s="169"/>
      <c r="AB114" s="169"/>
      <c r="AC114" s="169"/>
      <c r="AD114" s="169"/>
      <c r="AE114" s="169"/>
      <c r="AF114" s="180"/>
      <c r="AG114" s="174"/>
      <c r="AH114" s="174"/>
      <c r="AI114" s="174"/>
      <c r="AJ114" s="174"/>
    </row>
    <row r="115" spans="1:36" x14ac:dyDescent="0.3">
      <c r="A115" s="369"/>
      <c r="B115" s="370" t="s">
        <v>87</v>
      </c>
      <c r="C115" s="365">
        <f t="shared" ref="C115:W115" si="58">C114+C103+C75+C64+C58+C38+C17+C97+C109+C21</f>
        <v>55673984.340000004</v>
      </c>
      <c r="D115" s="208">
        <f t="shared" si="58"/>
        <v>2999847.16</v>
      </c>
      <c r="E115" s="208">
        <f t="shared" si="58"/>
        <v>2610179.16</v>
      </c>
      <c r="F115" s="208">
        <f t="shared" si="58"/>
        <v>0</v>
      </c>
      <c r="G115" s="208">
        <f t="shared" si="58"/>
        <v>0</v>
      </c>
      <c r="H115" s="208">
        <f t="shared" si="58"/>
        <v>0</v>
      </c>
      <c r="I115" s="208">
        <f t="shared" si="58"/>
        <v>389668</v>
      </c>
      <c r="J115" s="208">
        <f t="shared" si="58"/>
        <v>0</v>
      </c>
      <c r="K115" s="208">
        <f t="shared" si="58"/>
        <v>0</v>
      </c>
      <c r="L115" s="208">
        <f t="shared" si="58"/>
        <v>0</v>
      </c>
      <c r="M115" s="208">
        <f t="shared" si="58"/>
        <v>1046.5</v>
      </c>
      <c r="N115" s="208">
        <f t="shared" si="58"/>
        <v>790000</v>
      </c>
      <c r="O115" s="208">
        <f t="shared" si="58"/>
        <v>0</v>
      </c>
      <c r="P115" s="208">
        <f t="shared" si="58"/>
        <v>0</v>
      </c>
      <c r="Q115" s="208">
        <f t="shared" si="58"/>
        <v>2029.37</v>
      </c>
      <c r="R115" s="208">
        <f t="shared" si="58"/>
        <v>24031663.359999999</v>
      </c>
      <c r="S115" s="208">
        <f t="shared" si="58"/>
        <v>0</v>
      </c>
      <c r="T115" s="208">
        <f t="shared" si="58"/>
        <v>0</v>
      </c>
      <c r="U115" s="208">
        <f t="shared" si="58"/>
        <v>0</v>
      </c>
      <c r="V115" s="208">
        <f t="shared" si="58"/>
        <v>0</v>
      </c>
      <c r="W115" s="208">
        <f t="shared" si="58"/>
        <v>27272202.529999997</v>
      </c>
      <c r="X115" s="171"/>
    </row>
    <row r="116" spans="1:36" s="244" customFormat="1" x14ac:dyDescent="0.3">
      <c r="A116" s="371"/>
      <c r="B116" s="372" t="s">
        <v>139</v>
      </c>
      <c r="C116" s="365">
        <f>(C115-W115)*0.0214</f>
        <v>607798.13073400012</v>
      </c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9"/>
    </row>
    <row r="117" spans="1:36" s="244" customFormat="1" ht="31.2" x14ac:dyDescent="0.3">
      <c r="A117" s="371"/>
      <c r="B117" s="373" t="s">
        <v>140</v>
      </c>
      <c r="C117" s="365">
        <f>C115+C116</f>
        <v>56281782.470734</v>
      </c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9"/>
    </row>
  </sheetData>
  <autoFilter ref="A9:AW118"/>
  <mergeCells count="49">
    <mergeCell ref="A14:B14"/>
    <mergeCell ref="A16:B16"/>
    <mergeCell ref="A19:B19"/>
    <mergeCell ref="A21:B21"/>
    <mergeCell ref="A22:B22"/>
    <mergeCell ref="A1:W1"/>
    <mergeCell ref="A65:W65"/>
    <mergeCell ref="A39:W39"/>
    <mergeCell ref="A59:W59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K5:K7"/>
    <mergeCell ref="L5:L7"/>
    <mergeCell ref="AG4:AG8"/>
    <mergeCell ref="A98:W98"/>
    <mergeCell ref="A17:B17"/>
    <mergeCell ref="A77:B77"/>
    <mergeCell ref="A76:W76"/>
    <mergeCell ref="A97:B97"/>
    <mergeCell ref="A80:B80"/>
    <mergeCell ref="A37:B37"/>
    <mergeCell ref="A13:B13"/>
    <mergeCell ref="AF4:AF8"/>
    <mergeCell ref="E5:E7"/>
    <mergeCell ref="F5:F7"/>
    <mergeCell ref="G5:G7"/>
    <mergeCell ref="A104:W104"/>
    <mergeCell ref="A110:W110"/>
    <mergeCell ref="AI4:AI9"/>
    <mergeCell ref="A10:W10"/>
    <mergeCell ref="AH4:AH8"/>
    <mergeCell ref="H5:H7"/>
    <mergeCell ref="I5:I7"/>
    <mergeCell ref="D5:D7"/>
    <mergeCell ref="J5:J7"/>
    <mergeCell ref="A23:W23"/>
    <mergeCell ref="A64:B64"/>
    <mergeCell ref="A63:B63"/>
    <mergeCell ref="A57:B57"/>
    <mergeCell ref="A58:B58"/>
    <mergeCell ref="A34:B34"/>
    <mergeCell ref="A38:B38"/>
  </mergeCells>
  <pageMargins left="0.23622047244094491" right="0.23622047244094491" top="0.55118110236220474" bottom="0.39370078740157483" header="0.31496062992125984" footer="0.28000000000000003"/>
  <pageSetup paperSize="9" scale="33" orientation="landscape" r:id="rId1"/>
  <headerFooter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view="pageBreakPreview" zoomScale="60" zoomScaleNormal="70" workbookViewId="0">
      <pane xSplit="2" ySplit="9" topLeftCell="C22" activePane="bottomRight" state="frozen"/>
      <selection activeCell="P738" sqref="P738"/>
      <selection pane="topRight" activeCell="P738" sqref="P738"/>
      <selection pane="bottomLeft" activeCell="P738" sqref="P738"/>
      <selection pane="bottomRight" activeCell="E54" sqref="E54"/>
    </sheetView>
  </sheetViews>
  <sheetFormatPr defaultColWidth="9.109375" defaultRowHeight="15.6" x14ac:dyDescent="0.3"/>
  <cols>
    <col min="1" max="1" width="9" style="72" customWidth="1"/>
    <col min="2" max="2" width="48.6640625" style="29" customWidth="1"/>
    <col min="3" max="3" width="20" style="56" customWidth="1"/>
    <col min="4" max="4" width="16.44140625" style="56" customWidth="1"/>
    <col min="5" max="5" width="15.88671875" style="56" customWidth="1"/>
    <col min="6" max="6" width="16.5546875" style="56" customWidth="1"/>
    <col min="7" max="7" width="15.6640625" style="56" customWidth="1"/>
    <col min="8" max="8" width="15.44140625" style="56" customWidth="1"/>
    <col min="9" max="9" width="15.88671875" style="56" customWidth="1"/>
    <col min="10" max="10" width="10.44140625" style="74" customWidth="1"/>
    <col min="11" max="11" width="10.6640625" style="56" customWidth="1"/>
    <col min="12" max="12" width="9.5546875" style="56" bestFit="1" customWidth="1"/>
    <col min="13" max="13" width="7.33203125" style="56" customWidth="1"/>
    <col min="14" max="14" width="18.88671875" style="56" bestFit="1" customWidth="1"/>
    <col min="15" max="15" width="8.33203125" style="56" customWidth="1"/>
    <col min="16" max="16" width="18.44140625" style="56" bestFit="1" customWidth="1"/>
    <col min="17" max="17" width="7.33203125" style="56" customWidth="1"/>
    <col min="18" max="18" width="20.109375" style="56" customWidth="1"/>
    <col min="19" max="19" width="14.44140625" style="56" bestFit="1" customWidth="1"/>
    <col min="20" max="20" width="8.44140625" style="56" customWidth="1"/>
    <col min="21" max="21" width="16.88671875" style="56" customWidth="1"/>
    <col min="22" max="22" width="14.33203125" style="56" customWidth="1"/>
    <col min="23" max="23" width="16.88671875" style="56" customWidth="1"/>
    <col min="24" max="24" width="16.88671875" style="67" hidden="1" customWidth="1"/>
    <col min="25" max="28" width="16.88671875" style="56" hidden="1" customWidth="1"/>
    <col min="29" max="29" width="13.88671875" style="26" hidden="1" customWidth="1"/>
    <col min="30" max="30" width="15" style="26" hidden="1" customWidth="1"/>
    <col min="31" max="31" width="13.88671875" style="26" hidden="1" customWidth="1"/>
    <col min="32" max="32" width="10.5546875" style="26" hidden="1" customWidth="1"/>
    <col min="33" max="33" width="15.5546875" style="26" hidden="1" customWidth="1"/>
    <col min="34" max="34" width="12.44140625" style="26" hidden="1" customWidth="1"/>
    <col min="35" max="35" width="17" style="26" hidden="1" customWidth="1"/>
    <col min="36" max="36" width="17.109375" style="26" hidden="1" customWidth="1"/>
    <col min="37" max="37" width="20.6640625" style="26" hidden="1" customWidth="1"/>
    <col min="38" max="38" width="10.6640625" style="26" hidden="1" customWidth="1"/>
    <col min="39" max="39" width="12.109375" style="26" hidden="1" customWidth="1"/>
    <col min="40" max="40" width="11.6640625" style="26" hidden="1" customWidth="1"/>
    <col min="41" max="41" width="10.33203125" style="26" hidden="1" customWidth="1"/>
    <col min="42" max="43" width="9.109375" style="26" hidden="1" customWidth="1"/>
    <col min="44" max="44" width="0" style="26" hidden="1" customWidth="1"/>
    <col min="45" max="16384" width="9.109375" style="26"/>
  </cols>
  <sheetData>
    <row r="1" spans="1:40" x14ac:dyDescent="0.3">
      <c r="A1" s="421" t="s">
        <v>197</v>
      </c>
      <c r="B1" s="421"/>
      <c r="C1" s="421"/>
      <c r="D1" s="421"/>
      <c r="E1" s="508"/>
      <c r="F1" s="508"/>
      <c r="G1" s="508"/>
      <c r="H1" s="508"/>
      <c r="I1" s="508"/>
      <c r="J1" s="421"/>
      <c r="K1" s="421"/>
      <c r="L1" s="421"/>
      <c r="M1" s="421"/>
      <c r="N1" s="421"/>
      <c r="O1" s="421"/>
      <c r="P1" s="508"/>
      <c r="Q1" s="421"/>
      <c r="R1" s="421"/>
      <c r="S1" s="421"/>
      <c r="T1" s="421"/>
      <c r="U1" s="508"/>
      <c r="V1" s="421"/>
      <c r="W1" s="421"/>
      <c r="X1" s="69"/>
      <c r="Y1" s="54"/>
      <c r="Z1" s="54"/>
      <c r="AA1" s="54"/>
      <c r="AB1" s="54"/>
      <c r="AC1" s="33"/>
      <c r="AD1" s="33"/>
      <c r="AE1" s="33"/>
      <c r="AF1" s="33"/>
      <c r="AG1" s="13"/>
      <c r="AH1" s="13"/>
      <c r="AI1" s="13"/>
      <c r="AJ1" s="13"/>
      <c r="AK1" s="13"/>
      <c r="AL1" s="13"/>
    </row>
    <row r="2" spans="1:40" x14ac:dyDescent="0.3">
      <c r="A2" s="3"/>
      <c r="B2" s="23"/>
      <c r="AC2" s="4"/>
      <c r="AD2" s="4"/>
      <c r="AE2" s="9"/>
      <c r="AF2" s="13"/>
      <c r="AG2" s="13"/>
      <c r="AH2" s="13"/>
      <c r="AI2" s="403" t="s">
        <v>0</v>
      </c>
      <c r="AJ2" s="403"/>
      <c r="AK2" s="403"/>
      <c r="AL2" s="13"/>
    </row>
    <row r="3" spans="1:40" ht="47.25" customHeight="1" x14ac:dyDescent="0.3">
      <c r="A3" s="495" t="s">
        <v>1</v>
      </c>
      <c r="B3" s="495" t="s">
        <v>2</v>
      </c>
      <c r="C3" s="494" t="s">
        <v>3</v>
      </c>
      <c r="D3" s="496" t="s">
        <v>4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8"/>
      <c r="X3" s="66"/>
      <c r="Y3" s="55"/>
      <c r="Z3" s="55"/>
      <c r="AA3" s="55"/>
      <c r="AB3" s="55"/>
      <c r="AC3" s="37"/>
      <c r="AD3" s="38"/>
      <c r="AE3" s="9"/>
      <c r="AF3" s="13"/>
      <c r="AG3" s="13"/>
      <c r="AH3" s="13"/>
      <c r="AI3" s="13"/>
      <c r="AJ3" s="13"/>
      <c r="AK3" s="13"/>
      <c r="AL3" s="13"/>
    </row>
    <row r="4" spans="1:40" ht="54.75" customHeight="1" x14ac:dyDescent="0.3">
      <c r="A4" s="426"/>
      <c r="B4" s="426"/>
      <c r="C4" s="405"/>
      <c r="D4" s="493" t="s">
        <v>5</v>
      </c>
      <c r="E4" s="493"/>
      <c r="F4" s="493"/>
      <c r="G4" s="493"/>
      <c r="H4" s="493"/>
      <c r="I4" s="493"/>
      <c r="J4" s="493" t="s">
        <v>6</v>
      </c>
      <c r="K4" s="493"/>
      <c r="L4" s="493"/>
      <c r="M4" s="493" t="s">
        <v>7</v>
      </c>
      <c r="N4" s="493"/>
      <c r="O4" s="493" t="s">
        <v>8</v>
      </c>
      <c r="P4" s="493"/>
      <c r="Q4" s="493" t="s">
        <v>9</v>
      </c>
      <c r="R4" s="493"/>
      <c r="S4" s="494" t="s">
        <v>24</v>
      </c>
      <c r="T4" s="493" t="s">
        <v>10</v>
      </c>
      <c r="U4" s="493"/>
      <c r="V4" s="493" t="s">
        <v>11</v>
      </c>
      <c r="W4" s="493" t="s">
        <v>12</v>
      </c>
      <c r="X4" s="73"/>
      <c r="Y4" s="63"/>
      <c r="Z4" s="63"/>
      <c r="AA4" s="63"/>
      <c r="AB4" s="63"/>
      <c r="AC4" s="50"/>
      <c r="AD4" s="34"/>
      <c r="AE4" s="34"/>
      <c r="AF4" s="34"/>
      <c r="AG4" s="34"/>
      <c r="AH4" s="34"/>
      <c r="AI4" s="418" t="s">
        <v>13</v>
      </c>
      <c r="AJ4" s="418" t="s">
        <v>14</v>
      </c>
      <c r="AK4" s="418" t="s">
        <v>15</v>
      </c>
      <c r="AL4" s="13"/>
    </row>
    <row r="5" spans="1:40" ht="15.75" customHeight="1" x14ac:dyDescent="0.3">
      <c r="A5" s="426"/>
      <c r="B5" s="426"/>
      <c r="C5" s="405"/>
      <c r="D5" s="493" t="s">
        <v>16</v>
      </c>
      <c r="E5" s="493" t="s">
        <v>17</v>
      </c>
      <c r="F5" s="493" t="s">
        <v>18</v>
      </c>
      <c r="G5" s="493" t="s">
        <v>19</v>
      </c>
      <c r="H5" s="493" t="s">
        <v>20</v>
      </c>
      <c r="I5" s="493" t="s">
        <v>21</v>
      </c>
      <c r="J5" s="503"/>
      <c r="K5" s="493" t="s">
        <v>22</v>
      </c>
      <c r="L5" s="493" t="s">
        <v>23</v>
      </c>
      <c r="M5" s="493"/>
      <c r="N5" s="493"/>
      <c r="O5" s="493"/>
      <c r="P5" s="493"/>
      <c r="Q5" s="493"/>
      <c r="R5" s="493"/>
      <c r="S5" s="405"/>
      <c r="T5" s="493"/>
      <c r="U5" s="493"/>
      <c r="V5" s="493"/>
      <c r="W5" s="493"/>
      <c r="X5" s="73"/>
      <c r="Y5" s="63"/>
      <c r="Z5" s="63"/>
      <c r="AA5" s="63"/>
      <c r="AB5" s="63"/>
      <c r="AC5" s="50"/>
      <c r="AD5" s="34"/>
      <c r="AE5" s="34"/>
      <c r="AF5" s="34"/>
      <c r="AG5" s="34"/>
      <c r="AH5" s="34"/>
      <c r="AI5" s="418"/>
      <c r="AJ5" s="418"/>
      <c r="AK5" s="418"/>
      <c r="AL5" s="13"/>
    </row>
    <row r="6" spans="1:40" ht="15.75" customHeight="1" x14ac:dyDescent="0.3">
      <c r="A6" s="426"/>
      <c r="B6" s="426"/>
      <c r="C6" s="405"/>
      <c r="D6" s="493"/>
      <c r="E6" s="493"/>
      <c r="F6" s="493"/>
      <c r="G6" s="493"/>
      <c r="H6" s="493"/>
      <c r="I6" s="493"/>
      <c r="J6" s="503"/>
      <c r="K6" s="493"/>
      <c r="L6" s="493"/>
      <c r="M6" s="493"/>
      <c r="N6" s="493"/>
      <c r="O6" s="493"/>
      <c r="P6" s="493"/>
      <c r="Q6" s="493"/>
      <c r="R6" s="493"/>
      <c r="S6" s="405"/>
      <c r="T6" s="493"/>
      <c r="U6" s="493"/>
      <c r="V6" s="493"/>
      <c r="W6" s="493"/>
      <c r="X6" s="73"/>
      <c r="Y6" s="63"/>
      <c r="Z6" s="63"/>
      <c r="AA6" s="63"/>
      <c r="AB6" s="63"/>
      <c r="AC6" s="50" t="s">
        <v>25</v>
      </c>
      <c r="AD6" s="34" t="s">
        <v>26</v>
      </c>
      <c r="AE6" s="34" t="s">
        <v>27</v>
      </c>
      <c r="AF6" s="34" t="s">
        <v>28</v>
      </c>
      <c r="AG6" s="34" t="s">
        <v>29</v>
      </c>
      <c r="AH6" s="34"/>
      <c r="AI6" s="418"/>
      <c r="AJ6" s="418"/>
      <c r="AK6" s="418"/>
      <c r="AL6" s="13"/>
    </row>
    <row r="7" spans="1:40" ht="84" customHeight="1" x14ac:dyDescent="0.3">
      <c r="A7" s="427"/>
      <c r="B7" s="427"/>
      <c r="C7" s="422"/>
      <c r="D7" s="493"/>
      <c r="E7" s="493"/>
      <c r="F7" s="493"/>
      <c r="G7" s="493"/>
      <c r="H7" s="493"/>
      <c r="I7" s="493"/>
      <c r="J7" s="503"/>
      <c r="K7" s="493"/>
      <c r="L7" s="493"/>
      <c r="M7" s="493"/>
      <c r="N7" s="493"/>
      <c r="O7" s="493"/>
      <c r="P7" s="493"/>
      <c r="Q7" s="493"/>
      <c r="R7" s="493"/>
      <c r="S7" s="422"/>
      <c r="T7" s="493"/>
      <c r="U7" s="493"/>
      <c r="V7" s="493"/>
      <c r="W7" s="493"/>
      <c r="X7" s="73"/>
      <c r="Y7" s="63"/>
      <c r="Z7" s="63"/>
      <c r="AA7" s="63"/>
      <c r="AB7" s="63"/>
      <c r="AC7" s="50"/>
      <c r="AD7" s="34"/>
      <c r="AE7" s="34"/>
      <c r="AF7" s="34"/>
      <c r="AG7" s="34"/>
      <c r="AH7" s="34"/>
      <c r="AI7" s="418"/>
      <c r="AJ7" s="418"/>
      <c r="AK7" s="418"/>
      <c r="AL7" s="13"/>
    </row>
    <row r="8" spans="1:40" x14ac:dyDescent="0.3">
      <c r="A8" s="68"/>
      <c r="B8" s="10"/>
      <c r="C8" s="58" t="s">
        <v>30</v>
      </c>
      <c r="D8" s="58" t="s">
        <v>30</v>
      </c>
      <c r="E8" s="58" t="s">
        <v>30</v>
      </c>
      <c r="F8" s="58" t="s">
        <v>30</v>
      </c>
      <c r="G8" s="58" t="s">
        <v>30</v>
      </c>
      <c r="H8" s="58" t="s">
        <v>30</v>
      </c>
      <c r="I8" s="58" t="s">
        <v>30</v>
      </c>
      <c r="J8" s="75" t="s">
        <v>31</v>
      </c>
      <c r="K8" s="58" t="s">
        <v>30</v>
      </c>
      <c r="L8" s="58" t="s">
        <v>30</v>
      </c>
      <c r="M8" s="58" t="s">
        <v>32</v>
      </c>
      <c r="N8" s="58" t="s">
        <v>30</v>
      </c>
      <c r="O8" s="58" t="s">
        <v>32</v>
      </c>
      <c r="P8" s="58" t="s">
        <v>30</v>
      </c>
      <c r="Q8" s="58" t="s">
        <v>32</v>
      </c>
      <c r="R8" s="58" t="s">
        <v>30</v>
      </c>
      <c r="S8" s="71" t="s">
        <v>30</v>
      </c>
      <c r="T8" s="58" t="s">
        <v>33</v>
      </c>
      <c r="U8" s="58" t="s">
        <v>30</v>
      </c>
      <c r="V8" s="58" t="s">
        <v>30</v>
      </c>
      <c r="W8" s="71" t="s">
        <v>30</v>
      </c>
      <c r="X8" s="73"/>
      <c r="Y8" s="63"/>
      <c r="Z8" s="63"/>
      <c r="AA8" s="63"/>
      <c r="AB8" s="63"/>
      <c r="AC8" s="50"/>
      <c r="AD8" s="34"/>
      <c r="AE8" s="34"/>
      <c r="AF8" s="34"/>
      <c r="AG8" s="34"/>
      <c r="AH8" s="34"/>
      <c r="AI8" s="418"/>
      <c r="AJ8" s="418"/>
      <c r="AK8" s="418"/>
      <c r="AL8" s="3"/>
    </row>
    <row r="9" spans="1:40" ht="15.75" x14ac:dyDescent="0.25">
      <c r="A9" s="12">
        <v>1</v>
      </c>
      <c r="B9" s="11">
        <v>2</v>
      </c>
      <c r="C9" s="12">
        <v>3</v>
      </c>
      <c r="D9" s="11">
        <v>4</v>
      </c>
      <c r="E9" s="12">
        <v>5</v>
      </c>
      <c r="F9" s="11">
        <v>6</v>
      </c>
      <c r="G9" s="12">
        <v>7</v>
      </c>
      <c r="H9" s="11">
        <v>8</v>
      </c>
      <c r="I9" s="12">
        <v>9</v>
      </c>
      <c r="J9" s="75">
        <v>10</v>
      </c>
      <c r="K9" s="12">
        <v>11</v>
      </c>
      <c r="L9" s="11">
        <v>12</v>
      </c>
      <c r="M9" s="12">
        <v>13</v>
      </c>
      <c r="N9" s="11">
        <v>14</v>
      </c>
      <c r="O9" s="12">
        <v>15</v>
      </c>
      <c r="P9" s="11">
        <v>16</v>
      </c>
      <c r="Q9" s="12">
        <v>17</v>
      </c>
      <c r="R9" s="11">
        <v>18</v>
      </c>
      <c r="S9" s="12">
        <v>19</v>
      </c>
      <c r="T9" s="11">
        <v>20</v>
      </c>
      <c r="U9" s="12">
        <v>21</v>
      </c>
      <c r="V9" s="11">
        <v>22</v>
      </c>
      <c r="W9" s="12">
        <v>23</v>
      </c>
      <c r="X9" s="43"/>
      <c r="Y9" s="43"/>
      <c r="Z9" s="43"/>
      <c r="AA9" s="43"/>
      <c r="AB9" s="43"/>
      <c r="AC9" s="41"/>
      <c r="AD9" s="42"/>
      <c r="AE9" s="42"/>
      <c r="AF9" s="43"/>
      <c r="AG9" s="2"/>
      <c r="AH9" s="2"/>
      <c r="AI9" s="2"/>
      <c r="AJ9" s="2"/>
      <c r="AK9" s="2"/>
      <c r="AL9" s="2"/>
    </row>
    <row r="10" spans="1:40" s="24" customFormat="1" ht="18.75" customHeight="1" x14ac:dyDescent="0.3">
      <c r="A10" s="506" t="s">
        <v>104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1"/>
      <c r="Y10" s="51"/>
      <c r="Z10" s="51"/>
      <c r="AA10" s="48" t="s">
        <v>34</v>
      </c>
      <c r="AB10" s="32"/>
      <c r="AC10" s="32"/>
      <c r="AD10" s="32"/>
      <c r="AE10" s="32"/>
      <c r="AF10" s="32"/>
      <c r="AG10" s="76"/>
      <c r="AH10" s="76"/>
      <c r="AI10" s="76"/>
      <c r="AJ10" s="17"/>
      <c r="AK10" s="13"/>
      <c r="AL10" s="13"/>
    </row>
    <row r="11" spans="1:40" ht="15.75" customHeight="1" x14ac:dyDescent="0.3">
      <c r="A11" s="128" t="s">
        <v>204</v>
      </c>
      <c r="B11" s="12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64"/>
      <c r="Y11" s="66"/>
      <c r="Z11" s="109"/>
      <c r="AA11" s="109"/>
      <c r="AB11" s="109"/>
      <c r="AC11" s="93"/>
      <c r="AD11" s="66"/>
      <c r="AE11" s="66"/>
      <c r="AF11" s="66"/>
      <c r="AG11" s="66"/>
      <c r="AH11" s="66"/>
      <c r="AI11" s="66"/>
      <c r="AJ11" s="111"/>
      <c r="AK11" s="9"/>
      <c r="AL11" s="13"/>
      <c r="AM11" s="13"/>
    </row>
    <row r="12" spans="1:40" x14ac:dyDescent="0.3">
      <c r="A12" s="106">
        <v>1</v>
      </c>
      <c r="B12" s="7" t="s">
        <v>202</v>
      </c>
      <c r="C12" s="6">
        <f>D12+K12+L12+N12+P12+R12+S12+U12+V12+W12</f>
        <v>968776.28</v>
      </c>
      <c r="D12" s="6"/>
      <c r="E12" s="6"/>
      <c r="F12" s="6"/>
      <c r="G12" s="6"/>
      <c r="H12" s="6"/>
      <c r="I12" s="6"/>
      <c r="J12" s="7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>SUM(AC12:AN12)</f>
        <v>968776.28</v>
      </c>
      <c r="X12" s="64">
        <f>C12-E12-F12-G12-H12-I12-N12-P12-R12-S12-U12-V12-W12</f>
        <v>0</v>
      </c>
      <c r="Y12" s="66">
        <f>C12-D12-N12-P12-R12-S12-U12-V12-W12</f>
        <v>0</v>
      </c>
      <c r="Z12" s="93"/>
      <c r="AA12" s="93"/>
      <c r="AB12" s="93"/>
      <c r="AC12" s="93"/>
      <c r="AD12" s="6">
        <v>92275.8</v>
      </c>
      <c r="AE12" s="6"/>
      <c r="AF12" s="6"/>
      <c r="AG12" s="6"/>
      <c r="AH12" s="6">
        <v>93173.440000000002</v>
      </c>
      <c r="AI12" s="6">
        <v>175583.8</v>
      </c>
      <c r="AJ12" s="126"/>
      <c r="AK12" s="127">
        <v>444901.31</v>
      </c>
      <c r="AL12" s="127">
        <v>162841.93</v>
      </c>
      <c r="AM12" s="13"/>
      <c r="AN12" s="13"/>
    </row>
    <row r="13" spans="1:40" s="24" customFormat="1" x14ac:dyDescent="0.3">
      <c r="A13" s="504" t="s">
        <v>35</v>
      </c>
      <c r="B13" s="505"/>
      <c r="C13" s="77">
        <f t="shared" ref="C13:W13" si="0">SUM(C12:C12)</f>
        <v>968776.28</v>
      </c>
      <c r="D13" s="77">
        <f t="shared" si="0"/>
        <v>0</v>
      </c>
      <c r="E13" s="77">
        <f t="shared" si="0"/>
        <v>0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7">
        <f t="shared" si="0"/>
        <v>0</v>
      </c>
      <c r="L13" s="77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7">
        <f t="shared" si="0"/>
        <v>0</v>
      </c>
      <c r="V13" s="77">
        <f t="shared" si="0"/>
        <v>0</v>
      </c>
      <c r="W13" s="77">
        <f t="shared" si="0"/>
        <v>968776.28</v>
      </c>
      <c r="X13" s="61"/>
      <c r="Y13" s="61"/>
      <c r="Z13" s="53"/>
      <c r="AA13" s="112"/>
      <c r="AB13" s="77"/>
      <c r="AC13" s="130"/>
      <c r="AD13" s="130"/>
      <c r="AE13" s="130"/>
      <c r="AF13" s="130"/>
      <c r="AG13" s="130"/>
      <c r="AH13" s="136"/>
      <c r="AI13" s="131"/>
      <c r="AJ13" s="131"/>
      <c r="AK13" s="13"/>
      <c r="AL13" s="13"/>
    </row>
    <row r="14" spans="1:40" s="156" customFormat="1" ht="15.75" customHeight="1" x14ac:dyDescent="0.3">
      <c r="A14" s="491" t="s">
        <v>205</v>
      </c>
      <c r="B14" s="492"/>
      <c r="C14" s="176">
        <f>C13</f>
        <v>968776.28</v>
      </c>
      <c r="D14" s="176">
        <f t="shared" ref="D14:W14" si="1">D13</f>
        <v>0</v>
      </c>
      <c r="E14" s="176">
        <f t="shared" si="1"/>
        <v>0</v>
      </c>
      <c r="F14" s="176">
        <f t="shared" si="1"/>
        <v>0</v>
      </c>
      <c r="G14" s="176">
        <f t="shared" si="1"/>
        <v>0</v>
      </c>
      <c r="H14" s="176">
        <f t="shared" si="1"/>
        <v>0</v>
      </c>
      <c r="I14" s="176">
        <f t="shared" si="1"/>
        <v>0</v>
      </c>
      <c r="J14" s="176">
        <f t="shared" si="1"/>
        <v>0</v>
      </c>
      <c r="K14" s="176">
        <f t="shared" si="1"/>
        <v>0</v>
      </c>
      <c r="L14" s="176">
        <f t="shared" si="1"/>
        <v>0</v>
      </c>
      <c r="M14" s="176">
        <f t="shared" si="1"/>
        <v>0</v>
      </c>
      <c r="N14" s="176">
        <f t="shared" si="1"/>
        <v>0</v>
      </c>
      <c r="O14" s="176">
        <f t="shared" si="1"/>
        <v>0</v>
      </c>
      <c r="P14" s="176">
        <f t="shared" si="1"/>
        <v>0</v>
      </c>
      <c r="Q14" s="176">
        <f t="shared" si="1"/>
        <v>0</v>
      </c>
      <c r="R14" s="176">
        <f t="shared" si="1"/>
        <v>0</v>
      </c>
      <c r="S14" s="176">
        <f t="shared" si="1"/>
        <v>0</v>
      </c>
      <c r="T14" s="176">
        <f t="shared" si="1"/>
        <v>0</v>
      </c>
      <c r="U14" s="176">
        <f t="shared" si="1"/>
        <v>0</v>
      </c>
      <c r="V14" s="176">
        <f t="shared" si="1"/>
        <v>0</v>
      </c>
      <c r="W14" s="176">
        <f t="shared" si="1"/>
        <v>968776.28</v>
      </c>
      <c r="X14" s="44"/>
      <c r="Y14" s="44"/>
      <c r="Z14" s="280"/>
      <c r="AA14" s="177"/>
      <c r="AB14" s="177"/>
      <c r="AC14" s="121"/>
      <c r="AD14" s="121"/>
      <c r="AE14" s="121"/>
      <c r="AF14" s="121"/>
      <c r="AG14" s="121"/>
      <c r="AH14" s="281"/>
      <c r="AI14" s="282"/>
      <c r="AJ14" s="282"/>
      <c r="AK14" s="283"/>
      <c r="AL14" s="283"/>
    </row>
    <row r="15" spans="1:40" ht="15.75" customHeight="1" x14ac:dyDescent="0.3">
      <c r="A15" s="499" t="s">
        <v>62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1"/>
      <c r="X15" s="64">
        <f t="shared" ref="X15:X23" si="2">C15-E15-F15-G15-H15-I15-N15-P15-R15-S15-U15-V15-W15</f>
        <v>0</v>
      </c>
      <c r="Y15" s="55">
        <f t="shared" ref="Y15:Y24" si="3">C15-D15-N15-P15-R15-S15-U15-V15-W15</f>
        <v>0</v>
      </c>
      <c r="Z15" s="62"/>
      <c r="AA15" s="62"/>
      <c r="AB15" s="62"/>
      <c r="AC15" s="89"/>
      <c r="AD15" s="89"/>
      <c r="AE15" s="89"/>
      <c r="AF15" s="89"/>
      <c r="AG15" s="89"/>
      <c r="AH15" s="89"/>
      <c r="AI15" s="89"/>
      <c r="AJ15" s="89"/>
      <c r="AK15" s="101"/>
      <c r="AL15" s="104"/>
      <c r="AM15" s="13"/>
    </row>
    <row r="16" spans="1:40" x14ac:dyDescent="0.3">
      <c r="A16" s="502" t="s">
        <v>63</v>
      </c>
      <c r="B16" s="502"/>
      <c r="C16" s="70"/>
      <c r="D16" s="70"/>
      <c r="E16" s="65"/>
      <c r="F16" s="65"/>
      <c r="G16" s="65"/>
      <c r="H16" s="65"/>
      <c r="I16" s="65"/>
      <c r="J16" s="36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4">
        <f t="shared" si="2"/>
        <v>0</v>
      </c>
      <c r="Y16" s="55">
        <f t="shared" si="3"/>
        <v>0</v>
      </c>
      <c r="Z16" s="59"/>
      <c r="AA16" s="59"/>
      <c r="AB16" s="59"/>
      <c r="AC16" s="89"/>
      <c r="AD16" s="89"/>
      <c r="AE16" s="89"/>
      <c r="AF16" s="89"/>
      <c r="AG16" s="89"/>
      <c r="AH16" s="89"/>
      <c r="AI16" s="89"/>
      <c r="AJ16" s="89"/>
      <c r="AK16" s="101"/>
      <c r="AL16" s="104"/>
      <c r="AM16" s="13"/>
    </row>
    <row r="17" spans="1:43" x14ac:dyDescent="0.3">
      <c r="A17" s="15">
        <f>A12+1</f>
        <v>2</v>
      </c>
      <c r="B17" s="18" t="s">
        <v>64</v>
      </c>
      <c r="C17" s="70">
        <f t="shared" ref="C17:C23" si="4">D17+K17+L17+N17+P17+R17+S17+U17+V17+W17</f>
        <v>130000</v>
      </c>
      <c r="D17" s="70"/>
      <c r="E17" s="70"/>
      <c r="F17" s="70"/>
      <c r="G17" s="70"/>
      <c r="H17" s="70"/>
      <c r="I17" s="70"/>
      <c r="J17" s="35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>
        <v>130000</v>
      </c>
      <c r="X17" s="64">
        <f t="shared" si="2"/>
        <v>0</v>
      </c>
      <c r="Y17" s="55">
        <f t="shared" si="3"/>
        <v>0</v>
      </c>
      <c r="Z17" s="61"/>
      <c r="AA17" s="61"/>
      <c r="AB17" s="61"/>
      <c r="AC17" s="89"/>
      <c r="AD17" s="89"/>
      <c r="AE17" s="89"/>
      <c r="AF17" s="89"/>
      <c r="AG17" s="89"/>
      <c r="AH17" s="89"/>
      <c r="AI17" s="89"/>
      <c r="AJ17" s="101"/>
      <c r="AK17" s="104"/>
      <c r="AL17" s="137"/>
      <c r="AM17" s="13"/>
    </row>
    <row r="18" spans="1:43" x14ac:dyDescent="0.3">
      <c r="A18" s="15">
        <f>A17+1</f>
        <v>3</v>
      </c>
      <c r="B18" s="18" t="s">
        <v>65</v>
      </c>
      <c r="C18" s="70">
        <f t="shared" si="4"/>
        <v>1207707.6499999999</v>
      </c>
      <c r="D18" s="70"/>
      <c r="E18" s="70"/>
      <c r="F18" s="70"/>
      <c r="G18" s="70"/>
      <c r="H18" s="70"/>
      <c r="I18" s="70"/>
      <c r="J18" s="35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>
        <f>SUM(AC18:AO18)</f>
        <v>1207707.6499999999</v>
      </c>
      <c r="X18" s="64">
        <f t="shared" si="2"/>
        <v>0</v>
      </c>
      <c r="Y18" s="55">
        <f t="shared" si="3"/>
        <v>0</v>
      </c>
      <c r="Z18" s="61"/>
      <c r="AA18" s="61"/>
      <c r="AB18" s="61"/>
      <c r="AC18" s="89"/>
      <c r="AD18" s="89"/>
      <c r="AE18" s="89"/>
      <c r="AF18" s="89"/>
      <c r="AG18" s="89"/>
      <c r="AH18" s="89"/>
      <c r="AI18" s="89"/>
      <c r="AJ18" s="101"/>
      <c r="AK18" s="104">
        <v>1207707.6499999999</v>
      </c>
      <c r="AL18" s="137"/>
      <c r="AM18" s="13"/>
    </row>
    <row r="19" spans="1:43" x14ac:dyDescent="0.3">
      <c r="A19" s="15">
        <f t="shared" ref="A19:A23" si="5">A18+1</f>
        <v>4</v>
      </c>
      <c r="B19" s="91" t="s">
        <v>167</v>
      </c>
      <c r="C19" s="89">
        <f t="shared" si="4"/>
        <v>739312.52</v>
      </c>
      <c r="D19" s="89"/>
      <c r="E19" s="89"/>
      <c r="F19" s="89"/>
      <c r="G19" s="89"/>
      <c r="H19" s="89"/>
      <c r="I19" s="89"/>
      <c r="J19" s="96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>
        <f>SUM(AC19:AO19)</f>
        <v>739312.52</v>
      </c>
      <c r="X19" s="64">
        <f t="shared" si="2"/>
        <v>0</v>
      </c>
      <c r="Y19" s="66">
        <f t="shared" si="3"/>
        <v>0</v>
      </c>
      <c r="Z19" s="93"/>
      <c r="AA19" s="93"/>
      <c r="AB19" s="93"/>
      <c r="AC19" s="89"/>
      <c r="AD19" s="89"/>
      <c r="AE19" s="89"/>
      <c r="AF19" s="89"/>
      <c r="AG19" s="89"/>
      <c r="AH19" s="89"/>
      <c r="AI19" s="89"/>
      <c r="AJ19" s="101"/>
      <c r="AK19" s="104">
        <v>739312.52</v>
      </c>
      <c r="AL19" s="137"/>
      <c r="AM19" s="13"/>
    </row>
    <row r="20" spans="1:43" x14ac:dyDescent="0.3">
      <c r="A20" s="15">
        <f t="shared" si="5"/>
        <v>5</v>
      </c>
      <c r="B20" s="7" t="s">
        <v>216</v>
      </c>
      <c r="C20" s="6">
        <f t="shared" si="4"/>
        <v>1072983.67</v>
      </c>
      <c r="D20" s="6"/>
      <c r="E20" s="6"/>
      <c r="F20" s="6"/>
      <c r="G20" s="6"/>
      <c r="H20" s="6"/>
      <c r="I20" s="6"/>
      <c r="J20" s="7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f>SUM(AC20:AO20)</f>
        <v>1072983.67</v>
      </c>
      <c r="X20" s="64">
        <f t="shared" si="2"/>
        <v>0</v>
      </c>
      <c r="Y20" s="66">
        <f t="shared" si="3"/>
        <v>0</v>
      </c>
      <c r="Z20" s="93"/>
      <c r="AA20" s="93"/>
      <c r="AB20" s="93"/>
      <c r="AC20" s="89"/>
      <c r="AD20" s="89"/>
      <c r="AE20" s="89"/>
      <c r="AF20" s="89"/>
      <c r="AG20" s="89"/>
      <c r="AH20" s="89"/>
      <c r="AI20" s="89">
        <v>206562.97</v>
      </c>
      <c r="AJ20" s="101"/>
      <c r="AK20" s="104">
        <v>866420.7</v>
      </c>
      <c r="AL20" s="137"/>
      <c r="AM20" s="13"/>
    </row>
    <row r="21" spans="1:43" x14ac:dyDescent="0.3">
      <c r="A21" s="15">
        <f t="shared" si="5"/>
        <v>6</v>
      </c>
      <c r="B21" s="91" t="s">
        <v>168</v>
      </c>
      <c r="C21" s="89">
        <f t="shared" si="4"/>
        <v>2183445.64</v>
      </c>
      <c r="D21" s="89"/>
      <c r="E21" s="89"/>
      <c r="F21" s="89"/>
      <c r="G21" s="89"/>
      <c r="H21" s="89"/>
      <c r="I21" s="89"/>
      <c r="J21" s="96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>
        <f>SUM(AC21:AO21)</f>
        <v>2183445.64</v>
      </c>
      <c r="X21" s="64">
        <f t="shared" si="2"/>
        <v>0</v>
      </c>
      <c r="Y21" s="66">
        <f t="shared" si="3"/>
        <v>0</v>
      </c>
      <c r="Z21" s="93"/>
      <c r="AA21" s="93"/>
      <c r="AB21" s="93"/>
      <c r="AC21" s="89"/>
      <c r="AD21" s="89"/>
      <c r="AE21" s="89"/>
      <c r="AF21" s="89"/>
      <c r="AG21" s="89"/>
      <c r="AH21" s="89"/>
      <c r="AI21" s="89"/>
      <c r="AJ21" s="101"/>
      <c r="AK21" s="104">
        <v>2183445.64</v>
      </c>
      <c r="AL21" s="137"/>
      <c r="AM21" s="13"/>
    </row>
    <row r="22" spans="1:43" x14ac:dyDescent="0.3">
      <c r="A22" s="15">
        <f t="shared" si="5"/>
        <v>7</v>
      </c>
      <c r="B22" s="91" t="s">
        <v>169</v>
      </c>
      <c r="C22" s="89">
        <f t="shared" si="4"/>
        <v>1949742.6</v>
      </c>
      <c r="D22" s="89"/>
      <c r="E22" s="89"/>
      <c r="F22" s="89"/>
      <c r="G22" s="89"/>
      <c r="H22" s="89"/>
      <c r="I22" s="89"/>
      <c r="J22" s="96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>
        <f>SUM(AC22:AO22)</f>
        <v>1949742.6</v>
      </c>
      <c r="X22" s="64">
        <f t="shared" si="2"/>
        <v>0</v>
      </c>
      <c r="Y22" s="66">
        <f t="shared" si="3"/>
        <v>0</v>
      </c>
      <c r="Z22" s="93"/>
      <c r="AA22" s="93"/>
      <c r="AB22" s="93"/>
      <c r="AC22" s="89"/>
      <c r="AD22" s="89"/>
      <c r="AE22" s="89"/>
      <c r="AF22" s="89"/>
      <c r="AG22" s="89"/>
      <c r="AH22" s="89"/>
      <c r="AI22" s="89">
        <v>619201.85</v>
      </c>
      <c r="AJ22" s="101"/>
      <c r="AK22" s="104">
        <v>1330540.75</v>
      </c>
      <c r="AL22" s="137"/>
      <c r="AM22" s="13"/>
    </row>
    <row r="23" spans="1:43" x14ac:dyDescent="0.3">
      <c r="A23" s="15">
        <f t="shared" si="5"/>
        <v>8</v>
      </c>
      <c r="B23" s="91" t="s">
        <v>170</v>
      </c>
      <c r="C23" s="89">
        <f t="shared" si="4"/>
        <v>130000</v>
      </c>
      <c r="D23" s="89"/>
      <c r="E23" s="89"/>
      <c r="F23" s="89"/>
      <c r="G23" s="89"/>
      <c r="H23" s="89"/>
      <c r="I23" s="89"/>
      <c r="J23" s="96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>
        <v>130000</v>
      </c>
      <c r="X23" s="64">
        <f t="shared" si="2"/>
        <v>0</v>
      </c>
      <c r="Y23" s="66">
        <f t="shared" si="3"/>
        <v>0</v>
      </c>
      <c r="Z23" s="93"/>
      <c r="AA23" s="93"/>
      <c r="AB23" s="93"/>
      <c r="AC23" s="89"/>
      <c r="AD23" s="89"/>
      <c r="AE23" s="89"/>
      <c r="AF23" s="89"/>
      <c r="AG23" s="89"/>
      <c r="AH23" s="89"/>
      <c r="AI23" s="89"/>
      <c r="AJ23" s="89"/>
      <c r="AK23" s="101"/>
      <c r="AL23" s="104"/>
      <c r="AM23" s="13"/>
    </row>
    <row r="24" spans="1:43" x14ac:dyDescent="0.3">
      <c r="A24" s="509" t="s">
        <v>35</v>
      </c>
      <c r="B24" s="510"/>
      <c r="C24" s="70">
        <f>SUM(C17:C23)</f>
        <v>7413192.0800000001</v>
      </c>
      <c r="D24" s="77">
        <f t="shared" ref="D24:W24" si="6">SUM(D17:D23)</f>
        <v>0</v>
      </c>
      <c r="E24" s="77">
        <f t="shared" si="6"/>
        <v>0</v>
      </c>
      <c r="F24" s="77">
        <f t="shared" si="6"/>
        <v>0</v>
      </c>
      <c r="G24" s="77">
        <f t="shared" si="6"/>
        <v>0</v>
      </c>
      <c r="H24" s="77">
        <f t="shared" si="6"/>
        <v>0</v>
      </c>
      <c r="I24" s="77">
        <f t="shared" si="6"/>
        <v>0</v>
      </c>
      <c r="J24" s="77">
        <f t="shared" si="6"/>
        <v>0</v>
      </c>
      <c r="K24" s="77">
        <f t="shared" si="6"/>
        <v>0</v>
      </c>
      <c r="L24" s="77">
        <f t="shared" si="6"/>
        <v>0</v>
      </c>
      <c r="M24" s="77">
        <f t="shared" si="6"/>
        <v>0</v>
      </c>
      <c r="N24" s="77">
        <f t="shared" si="6"/>
        <v>0</v>
      </c>
      <c r="O24" s="77">
        <f t="shared" si="6"/>
        <v>0</v>
      </c>
      <c r="P24" s="77">
        <f t="shared" si="6"/>
        <v>0</v>
      </c>
      <c r="Q24" s="77">
        <f t="shared" si="6"/>
        <v>0</v>
      </c>
      <c r="R24" s="77">
        <f t="shared" si="6"/>
        <v>0</v>
      </c>
      <c r="S24" s="77">
        <f t="shared" si="6"/>
        <v>0</v>
      </c>
      <c r="T24" s="77">
        <f t="shared" si="6"/>
        <v>0</v>
      </c>
      <c r="U24" s="77">
        <f t="shared" si="6"/>
        <v>0</v>
      </c>
      <c r="V24" s="77">
        <f t="shared" si="6"/>
        <v>0</v>
      </c>
      <c r="W24" s="77">
        <f t="shared" si="6"/>
        <v>7413192.0800000001</v>
      </c>
      <c r="X24" s="64">
        <f t="shared" ref="X24" si="7">C24-E24-F24-G24-H24-I24-N24-P24-R24-S24-U24-V24-W24</f>
        <v>0</v>
      </c>
      <c r="Y24" s="55">
        <f t="shared" si="3"/>
        <v>0</v>
      </c>
      <c r="Z24" s="61"/>
      <c r="AA24" s="61"/>
      <c r="AB24" s="61"/>
      <c r="AC24" s="138" t="e">
        <f>SUM(#REF!)</f>
        <v>#REF!</v>
      </c>
      <c r="AD24" s="89"/>
      <c r="AE24" s="89"/>
      <c r="AF24" s="89"/>
      <c r="AG24" s="89"/>
      <c r="AH24" s="89"/>
      <c r="AI24" s="89"/>
      <c r="AJ24" s="89"/>
      <c r="AK24" s="101"/>
      <c r="AL24" s="104"/>
      <c r="AM24" s="13"/>
    </row>
    <row r="25" spans="1:43" x14ac:dyDescent="0.3">
      <c r="A25" s="491" t="s">
        <v>66</v>
      </c>
      <c r="B25" s="492"/>
      <c r="C25" s="76">
        <f>C24</f>
        <v>7413192.0800000001</v>
      </c>
      <c r="D25" s="76">
        <f t="shared" ref="D25:W25" si="8">D24</f>
        <v>0</v>
      </c>
      <c r="E25" s="76">
        <f t="shared" si="8"/>
        <v>0</v>
      </c>
      <c r="F25" s="76">
        <f t="shared" si="8"/>
        <v>0</v>
      </c>
      <c r="G25" s="76">
        <f t="shared" si="8"/>
        <v>0</v>
      </c>
      <c r="H25" s="76">
        <f t="shared" si="8"/>
        <v>0</v>
      </c>
      <c r="I25" s="76">
        <f t="shared" si="8"/>
        <v>0</v>
      </c>
      <c r="J25" s="76">
        <f t="shared" si="8"/>
        <v>0</v>
      </c>
      <c r="K25" s="76">
        <f t="shared" si="8"/>
        <v>0</v>
      </c>
      <c r="L25" s="76">
        <f t="shared" si="8"/>
        <v>0</v>
      </c>
      <c r="M25" s="76">
        <f t="shared" si="8"/>
        <v>0</v>
      </c>
      <c r="N25" s="76">
        <f t="shared" si="8"/>
        <v>0</v>
      </c>
      <c r="O25" s="76">
        <f t="shared" si="8"/>
        <v>0</v>
      </c>
      <c r="P25" s="76">
        <f t="shared" si="8"/>
        <v>0</v>
      </c>
      <c r="Q25" s="76">
        <f t="shared" si="8"/>
        <v>0</v>
      </c>
      <c r="R25" s="76">
        <f t="shared" si="8"/>
        <v>0</v>
      </c>
      <c r="S25" s="76">
        <f t="shared" si="8"/>
        <v>0</v>
      </c>
      <c r="T25" s="76">
        <f t="shared" si="8"/>
        <v>0</v>
      </c>
      <c r="U25" s="76">
        <f t="shared" si="8"/>
        <v>0</v>
      </c>
      <c r="V25" s="76">
        <f t="shared" si="8"/>
        <v>0</v>
      </c>
      <c r="W25" s="76">
        <f t="shared" si="8"/>
        <v>7413192.0800000001</v>
      </c>
      <c r="X25" s="64">
        <f t="shared" ref="X25:X27" si="9">C25-E25-F25-G25-H25-I25-N25-P25-R25-S25-U25-V25-W25</f>
        <v>0</v>
      </c>
      <c r="Y25" s="55">
        <f t="shared" ref="Y25:Y27" si="10">C25-D25-N25-P25-R25-S25-U25-V25-W25</f>
        <v>0</v>
      </c>
      <c r="Z25" s="55"/>
      <c r="AA25" s="55"/>
      <c r="AB25" s="55"/>
      <c r="AC25" s="49" t="e">
        <f>AC24+#REF!+#REF!+#REF!+#REF!+#REF!+#REF!+#REF!+#REF!+#REF!</f>
        <v>#REF!</v>
      </c>
      <c r="AD25" s="37"/>
      <c r="AE25" s="37"/>
      <c r="AF25" s="37"/>
      <c r="AG25" s="37"/>
      <c r="AH25" s="37"/>
      <c r="AI25" s="37"/>
      <c r="AJ25" s="4"/>
      <c r="AK25" s="9"/>
      <c r="AL25" s="13"/>
      <c r="AM25" s="13"/>
    </row>
    <row r="26" spans="1:43" x14ac:dyDescent="0.3">
      <c r="A26" s="507" t="s">
        <v>218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64">
        <f t="shared" si="9"/>
        <v>0</v>
      </c>
      <c r="Y26" s="66">
        <f t="shared" si="10"/>
        <v>0</v>
      </c>
      <c r="Z26" s="110"/>
      <c r="AA26" s="110"/>
      <c r="AB26" s="110"/>
      <c r="AC26" s="110"/>
      <c r="AD26" s="6"/>
      <c r="AE26" s="6"/>
      <c r="AF26" s="6"/>
      <c r="AG26" s="6"/>
      <c r="AH26" s="6"/>
      <c r="AI26" s="6"/>
      <c r="AJ26" s="6"/>
      <c r="AK26" s="6"/>
      <c r="AL26" s="6"/>
      <c r="AM26" s="107"/>
      <c r="AN26" s="6"/>
      <c r="AO26" s="6"/>
      <c r="AP26" s="6"/>
      <c r="AQ26" s="6"/>
    </row>
    <row r="27" spans="1:43" x14ac:dyDescent="0.3">
      <c r="A27" s="511" t="s">
        <v>219</v>
      </c>
      <c r="B27" s="511"/>
      <c r="C27" s="80"/>
      <c r="D27" s="80"/>
      <c r="E27" s="80"/>
      <c r="F27" s="80"/>
      <c r="G27" s="80"/>
      <c r="H27" s="80"/>
      <c r="I27" s="80"/>
      <c r="J27" s="135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64">
        <f t="shared" si="9"/>
        <v>0</v>
      </c>
      <c r="Y27" s="66">
        <f t="shared" si="10"/>
        <v>0</v>
      </c>
      <c r="Z27" s="110"/>
      <c r="AA27" s="110"/>
      <c r="AB27" s="110"/>
      <c r="AC27" s="110"/>
      <c r="AD27" s="6"/>
      <c r="AE27" s="6"/>
      <c r="AF27" s="6"/>
      <c r="AG27" s="6"/>
      <c r="AH27" s="6"/>
      <c r="AI27" s="6"/>
      <c r="AJ27" s="6"/>
      <c r="AK27" s="6"/>
      <c r="AL27" s="6"/>
      <c r="AM27" s="107"/>
      <c r="AN27" s="6"/>
      <c r="AO27" s="6"/>
      <c r="AP27" s="6"/>
      <c r="AQ27" s="6"/>
    </row>
    <row r="28" spans="1:43" x14ac:dyDescent="0.3">
      <c r="A28" s="15">
        <f>A23+1</f>
        <v>9</v>
      </c>
      <c r="B28" s="7" t="s">
        <v>220</v>
      </c>
      <c r="C28" s="6">
        <f>D28+K28+L28+N28+P28+R28+S28+U28+V28+W28</f>
        <v>1634102.77</v>
      </c>
      <c r="D28" s="6"/>
      <c r="E28" s="6"/>
      <c r="F28" s="6"/>
      <c r="G28" s="6"/>
      <c r="H28" s="6"/>
      <c r="I28" s="6"/>
      <c r="J28" s="7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f>SUM(AD28:AQ28)</f>
        <v>1634102.77</v>
      </c>
      <c r="X28" s="64">
        <f>C28-E28-F28-G28-H28-I28-N28-P28-R28-S28-U28-V28-W28</f>
        <v>0</v>
      </c>
      <c r="Y28" s="66">
        <f>C28-D28-N28-P28-R28-S28-U28-V28-W28</f>
        <v>0</v>
      </c>
      <c r="Z28" s="93"/>
      <c r="AA28" s="93"/>
      <c r="AB28" s="93"/>
      <c r="AC28" s="93"/>
      <c r="AD28" s="6"/>
      <c r="AE28" s="6"/>
      <c r="AF28" s="6"/>
      <c r="AG28" s="6"/>
      <c r="AH28" s="6"/>
      <c r="AI28" s="6"/>
      <c r="AJ28" s="6"/>
      <c r="AK28" s="6"/>
      <c r="AL28" s="6">
        <v>403410.15</v>
      </c>
      <c r="AM28" s="107">
        <v>327939.89</v>
      </c>
      <c r="AN28" s="6">
        <v>902752.73</v>
      </c>
      <c r="AO28" s="6"/>
      <c r="AP28" s="6"/>
      <c r="AQ28" s="6"/>
    </row>
    <row r="29" spans="1:43" s="24" customFormat="1" x14ac:dyDescent="0.3">
      <c r="A29" s="504" t="s">
        <v>35</v>
      </c>
      <c r="B29" s="505"/>
      <c r="C29" s="77">
        <f t="shared" ref="C29:W29" si="11">SUM(C28:C28)</f>
        <v>1634102.77</v>
      </c>
      <c r="D29" s="77">
        <f t="shared" si="11"/>
        <v>0</v>
      </c>
      <c r="E29" s="77">
        <f t="shared" si="11"/>
        <v>0</v>
      </c>
      <c r="F29" s="77">
        <f t="shared" si="11"/>
        <v>0</v>
      </c>
      <c r="G29" s="77">
        <f t="shared" si="11"/>
        <v>0</v>
      </c>
      <c r="H29" s="77">
        <f t="shared" si="11"/>
        <v>0</v>
      </c>
      <c r="I29" s="77">
        <f t="shared" si="11"/>
        <v>0</v>
      </c>
      <c r="J29" s="77">
        <f t="shared" si="11"/>
        <v>0</v>
      </c>
      <c r="K29" s="77">
        <f t="shared" si="11"/>
        <v>0</v>
      </c>
      <c r="L29" s="77">
        <f t="shared" si="11"/>
        <v>0</v>
      </c>
      <c r="M29" s="77">
        <f t="shared" si="11"/>
        <v>0</v>
      </c>
      <c r="N29" s="77">
        <f t="shared" si="11"/>
        <v>0</v>
      </c>
      <c r="O29" s="77">
        <f t="shared" si="11"/>
        <v>0</v>
      </c>
      <c r="P29" s="77">
        <f t="shared" si="11"/>
        <v>0</v>
      </c>
      <c r="Q29" s="77">
        <f t="shared" si="11"/>
        <v>0</v>
      </c>
      <c r="R29" s="77">
        <f t="shared" si="11"/>
        <v>0</v>
      </c>
      <c r="S29" s="77">
        <f t="shared" si="11"/>
        <v>0</v>
      </c>
      <c r="T29" s="77">
        <f t="shared" si="11"/>
        <v>0</v>
      </c>
      <c r="U29" s="77">
        <f t="shared" si="11"/>
        <v>0</v>
      </c>
      <c r="V29" s="77">
        <f t="shared" si="11"/>
        <v>0</v>
      </c>
      <c r="W29" s="77">
        <f t="shared" si="11"/>
        <v>1634102.77</v>
      </c>
      <c r="X29" s="61"/>
      <c r="Y29" s="61"/>
      <c r="Z29" s="53"/>
      <c r="AA29" s="112"/>
      <c r="AB29" s="77"/>
      <c r="AC29" s="77"/>
      <c r="AD29" s="77"/>
      <c r="AE29" s="77"/>
      <c r="AF29" s="77"/>
      <c r="AG29" s="77"/>
      <c r="AH29" s="16"/>
      <c r="AI29" s="17"/>
      <c r="AJ29" s="17"/>
      <c r="AK29" s="13"/>
      <c r="AL29" s="13"/>
    </row>
    <row r="30" spans="1:43" s="24" customFormat="1" x14ac:dyDescent="0.3">
      <c r="A30" s="132" t="s">
        <v>222</v>
      </c>
      <c r="B30" s="13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93"/>
      <c r="Y30" s="93"/>
      <c r="Z30" s="125"/>
      <c r="AA30" s="93"/>
      <c r="AB30" s="6"/>
      <c r="AC30" s="6"/>
      <c r="AD30" s="6"/>
      <c r="AE30" s="6"/>
      <c r="AF30" s="6"/>
      <c r="AG30" s="6"/>
      <c r="AH30" s="6"/>
      <c r="AI30" s="6"/>
      <c r="AJ30" s="6"/>
      <c r="AK30" s="107"/>
      <c r="AL30" s="6"/>
      <c r="AM30" s="6"/>
      <c r="AN30" s="6"/>
      <c r="AO30" s="6"/>
    </row>
    <row r="31" spans="1:43" s="24" customFormat="1" x14ac:dyDescent="0.3">
      <c r="A31" s="15">
        <f>A28+1</f>
        <v>10</v>
      </c>
      <c r="B31" s="78" t="s">
        <v>223</v>
      </c>
      <c r="C31" s="6">
        <f>D31+K31+L31+N31+P31+R31+S31+U31+V31+W31</f>
        <v>130000</v>
      </c>
      <c r="D31" s="6">
        <f>E31+F31+G31+H31+I31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130000</v>
      </c>
      <c r="X31" s="93"/>
      <c r="Y31" s="93"/>
      <c r="Z31" s="125"/>
      <c r="AA31" s="93"/>
      <c r="AB31" s="6"/>
      <c r="AC31" s="6"/>
      <c r="AD31" s="6"/>
      <c r="AE31" s="6"/>
      <c r="AF31" s="6"/>
      <c r="AG31" s="6"/>
      <c r="AH31" s="6"/>
      <c r="AI31" s="6"/>
      <c r="AJ31" s="6"/>
      <c r="AK31" s="107"/>
      <c r="AL31" s="6"/>
      <c r="AM31" s="6"/>
      <c r="AN31" s="6"/>
      <c r="AO31" s="6"/>
    </row>
    <row r="32" spans="1:43" s="24" customFormat="1" x14ac:dyDescent="0.3">
      <c r="A32" s="15">
        <f t="shared" ref="A32:A34" si="12">A31+1</f>
        <v>11</v>
      </c>
      <c r="B32" s="78" t="s">
        <v>224</v>
      </c>
      <c r="C32" s="6">
        <f>D32+K32+L32+N32+P32+R32+S32+U32+V32+W32</f>
        <v>492972.77</v>
      </c>
      <c r="D32" s="6">
        <f>E32+F32+G32+H32+I32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>SUM(AB32:AO32)</f>
        <v>492972.77</v>
      </c>
      <c r="X32" s="93"/>
      <c r="Y32" s="93"/>
      <c r="Z32" s="125"/>
      <c r="AA32" s="93"/>
      <c r="AB32" s="6"/>
      <c r="AC32" s="6"/>
      <c r="AD32" s="6">
        <v>118684.68</v>
      </c>
      <c r="AE32" s="6"/>
      <c r="AF32" s="6"/>
      <c r="AG32" s="6"/>
      <c r="AH32" s="6"/>
      <c r="AI32" s="6"/>
      <c r="AJ32" s="6"/>
      <c r="AK32" s="107">
        <v>374288.09</v>
      </c>
      <c r="AL32" s="6"/>
      <c r="AM32" s="6"/>
      <c r="AN32" s="6"/>
      <c r="AO32" s="6"/>
    </row>
    <row r="33" spans="1:45" s="24" customFormat="1" x14ac:dyDescent="0.3">
      <c r="A33" s="15">
        <f t="shared" si="12"/>
        <v>12</v>
      </c>
      <c r="B33" s="78" t="s">
        <v>225</v>
      </c>
      <c r="C33" s="6">
        <f>D33+K33+L33+N33+P33+R33+S33+U33+V33+W33</f>
        <v>115701.19</v>
      </c>
      <c r="D33" s="6">
        <f>E33+F33+G33+H33+I33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f>SUM(AB33:AO33)</f>
        <v>115701.19</v>
      </c>
      <c r="X33" s="93"/>
      <c r="Y33" s="93"/>
      <c r="Z33" s="125"/>
      <c r="AA33" s="93"/>
      <c r="AB33" s="6"/>
      <c r="AC33" s="6"/>
      <c r="AD33" s="6">
        <v>115701.19</v>
      </c>
      <c r="AE33" s="6"/>
      <c r="AF33" s="6"/>
      <c r="AG33" s="6"/>
      <c r="AH33" s="6"/>
      <c r="AI33" s="6"/>
      <c r="AJ33" s="6"/>
      <c r="AK33" s="107"/>
      <c r="AL33" s="6"/>
      <c r="AM33" s="6"/>
      <c r="AN33" s="6"/>
      <c r="AO33" s="6"/>
    </row>
    <row r="34" spans="1:45" s="24" customFormat="1" x14ac:dyDescent="0.3">
      <c r="A34" s="15">
        <f t="shared" si="12"/>
        <v>13</v>
      </c>
      <c r="B34" s="78" t="s">
        <v>226</v>
      </c>
      <c r="C34" s="6">
        <f>D34+K34+L34+N34+P34+R34+S34+U34+V34+W34</f>
        <v>130000</v>
      </c>
      <c r="D34" s="6">
        <f>E34+F34+G34+H34+I34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v>130000</v>
      </c>
      <c r="X34" s="93"/>
      <c r="Y34" s="93"/>
      <c r="Z34" s="125"/>
      <c r="AA34" s="93"/>
      <c r="AB34" s="6"/>
      <c r="AC34" s="6"/>
      <c r="AD34" s="6"/>
      <c r="AE34" s="6"/>
      <c r="AF34" s="6"/>
      <c r="AG34" s="6"/>
      <c r="AH34" s="6"/>
      <c r="AI34" s="6"/>
      <c r="AJ34" s="6"/>
      <c r="AK34" s="107"/>
      <c r="AL34" s="6"/>
      <c r="AM34" s="6"/>
      <c r="AN34" s="6"/>
      <c r="AO34" s="6"/>
    </row>
    <row r="35" spans="1:45" x14ac:dyDescent="0.3">
      <c r="A35" s="509" t="s">
        <v>35</v>
      </c>
      <c r="B35" s="510"/>
      <c r="C35" s="77">
        <f>SUM(C31:C34)</f>
        <v>868673.96</v>
      </c>
      <c r="D35" s="77">
        <f t="shared" ref="D35:V35" si="13">SUM(D28:D34)</f>
        <v>0</v>
      </c>
      <c r="E35" s="77">
        <f t="shared" si="13"/>
        <v>0</v>
      </c>
      <c r="F35" s="77">
        <f t="shared" si="13"/>
        <v>0</v>
      </c>
      <c r="G35" s="77">
        <f t="shared" si="13"/>
        <v>0</v>
      </c>
      <c r="H35" s="77">
        <f t="shared" si="13"/>
        <v>0</v>
      </c>
      <c r="I35" s="77">
        <f t="shared" si="13"/>
        <v>0</v>
      </c>
      <c r="J35" s="77">
        <f t="shared" si="13"/>
        <v>0</v>
      </c>
      <c r="K35" s="77">
        <f t="shared" si="13"/>
        <v>0</v>
      </c>
      <c r="L35" s="77">
        <f t="shared" si="13"/>
        <v>0</v>
      </c>
      <c r="M35" s="77">
        <f t="shared" si="13"/>
        <v>0</v>
      </c>
      <c r="N35" s="77">
        <f t="shared" si="13"/>
        <v>0</v>
      </c>
      <c r="O35" s="77">
        <f t="shared" si="13"/>
        <v>0</v>
      </c>
      <c r="P35" s="77">
        <f t="shared" si="13"/>
        <v>0</v>
      </c>
      <c r="Q35" s="77">
        <f t="shared" si="13"/>
        <v>0</v>
      </c>
      <c r="R35" s="77">
        <f t="shared" si="13"/>
        <v>0</v>
      </c>
      <c r="S35" s="77">
        <f t="shared" si="13"/>
        <v>0</v>
      </c>
      <c r="T35" s="77">
        <f t="shared" si="13"/>
        <v>0</v>
      </c>
      <c r="U35" s="77">
        <f t="shared" si="13"/>
        <v>0</v>
      </c>
      <c r="V35" s="77">
        <f t="shared" si="13"/>
        <v>0</v>
      </c>
      <c r="W35" s="77">
        <f>SUM(W31:W34)</f>
        <v>868673.96</v>
      </c>
      <c r="X35" s="64">
        <f t="shared" ref="X35" si="14">C35-E35-F35-G35-H35-I35-N35-P35-R35-S35-U35-V35-W35</f>
        <v>0</v>
      </c>
      <c r="Y35" s="66">
        <f t="shared" ref="Y35:Y44" si="15">C35-D35-N35-P35-R35-S35-U35-V35-W35</f>
        <v>0</v>
      </c>
      <c r="Z35" s="61"/>
      <c r="AA35" s="61"/>
      <c r="AB35" s="61"/>
      <c r="AC35" s="46">
        <f>SUM(AC28:AC29)</f>
        <v>0</v>
      </c>
      <c r="AD35" s="66"/>
      <c r="AE35" s="66"/>
      <c r="AF35" s="66"/>
      <c r="AG35" s="66"/>
      <c r="AH35" s="66"/>
      <c r="AI35" s="66"/>
      <c r="AJ35" s="111"/>
      <c r="AK35" s="9"/>
      <c r="AL35" s="13"/>
      <c r="AM35" s="13"/>
    </row>
    <row r="36" spans="1:45" x14ac:dyDescent="0.3">
      <c r="A36" s="511" t="s">
        <v>227</v>
      </c>
      <c r="B36" s="511"/>
      <c r="C36" s="6"/>
      <c r="D36" s="6"/>
      <c r="E36" s="6"/>
      <c r="F36" s="6"/>
      <c r="G36" s="6"/>
      <c r="H36" s="6"/>
      <c r="I36" s="6"/>
      <c r="J36" s="7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4">
        <f t="shared" ref="X36:X43" si="16">C36-E36-F36-G36-H36-I36-N36-P36-R36-S36-U36-V36-W36</f>
        <v>0</v>
      </c>
      <c r="Y36" s="66">
        <f t="shared" si="15"/>
        <v>0</v>
      </c>
      <c r="Z36" s="93"/>
      <c r="AA36" s="93"/>
      <c r="AB36" s="93"/>
      <c r="AC36" s="93"/>
      <c r="AD36" s="6"/>
      <c r="AE36" s="6"/>
      <c r="AF36" s="6"/>
      <c r="AG36" s="6"/>
      <c r="AH36" s="6"/>
      <c r="AI36" s="6"/>
      <c r="AJ36" s="6"/>
      <c r="AK36" s="6"/>
      <c r="AL36" s="6"/>
      <c r="AM36" s="107"/>
      <c r="AN36" s="6"/>
      <c r="AO36" s="6"/>
      <c r="AP36" s="6"/>
      <c r="AQ36" s="6"/>
    </row>
    <row r="37" spans="1:45" x14ac:dyDescent="0.3">
      <c r="A37" s="15">
        <f>A34+1</f>
        <v>14</v>
      </c>
      <c r="B37" s="7" t="s">
        <v>228</v>
      </c>
      <c r="C37" s="6">
        <f t="shared" ref="C37:C43" si="17">D37+K37+L37+N37+P37+R37+S37+U37+V37+W37</f>
        <v>1985182.3699999999</v>
      </c>
      <c r="D37" s="6"/>
      <c r="E37" s="6"/>
      <c r="F37" s="6"/>
      <c r="G37" s="6"/>
      <c r="H37" s="6"/>
      <c r="I37" s="6"/>
      <c r="J37" s="7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f t="shared" ref="W37:W43" si="18">SUM(AD37:AQ37)</f>
        <v>1985182.3699999999</v>
      </c>
      <c r="X37" s="64">
        <f t="shared" si="16"/>
        <v>0</v>
      </c>
      <c r="Y37" s="66">
        <f t="shared" si="15"/>
        <v>0</v>
      </c>
      <c r="Z37" s="93"/>
      <c r="AA37" s="93"/>
      <c r="AB37" s="93"/>
      <c r="AC37" s="93"/>
      <c r="AD37" s="6"/>
      <c r="AE37" s="6"/>
      <c r="AF37" s="6"/>
      <c r="AG37" s="6"/>
      <c r="AH37" s="6"/>
      <c r="AI37" s="6"/>
      <c r="AJ37" s="6"/>
      <c r="AK37" s="6"/>
      <c r="AL37" s="6">
        <v>383073.24</v>
      </c>
      <c r="AM37" s="107">
        <v>379168.18</v>
      </c>
      <c r="AN37" s="6">
        <v>1222940.95</v>
      </c>
      <c r="AO37" s="6"/>
      <c r="AP37" s="6"/>
      <c r="AQ37" s="6"/>
    </row>
    <row r="38" spans="1:45" x14ac:dyDescent="0.3">
      <c r="A38" s="15">
        <f t="shared" ref="A38:A39" si="19">A37+1</f>
        <v>15</v>
      </c>
      <c r="B38" s="7" t="s">
        <v>229</v>
      </c>
      <c r="C38" s="6">
        <f t="shared" si="17"/>
        <v>1762533.62</v>
      </c>
      <c r="D38" s="6"/>
      <c r="E38" s="6"/>
      <c r="F38" s="6"/>
      <c r="G38" s="6"/>
      <c r="H38" s="6"/>
      <c r="I38" s="6"/>
      <c r="J38" s="7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>
        <f t="shared" si="18"/>
        <v>1762533.62</v>
      </c>
      <c r="X38" s="64">
        <f t="shared" si="16"/>
        <v>0</v>
      </c>
      <c r="Y38" s="66">
        <f t="shared" si="15"/>
        <v>0</v>
      </c>
      <c r="Z38" s="93"/>
      <c r="AA38" s="93"/>
      <c r="AB38" s="93"/>
      <c r="AC38" s="93"/>
      <c r="AD38" s="6"/>
      <c r="AE38" s="6"/>
      <c r="AF38" s="6"/>
      <c r="AG38" s="6"/>
      <c r="AH38" s="6"/>
      <c r="AI38" s="6"/>
      <c r="AJ38" s="6"/>
      <c r="AK38" s="6"/>
      <c r="AL38" s="6">
        <v>376045.94</v>
      </c>
      <c r="AM38" s="107">
        <v>183240.88</v>
      </c>
      <c r="AN38" s="6">
        <v>1203246.8</v>
      </c>
      <c r="AO38" s="6"/>
      <c r="AP38" s="6"/>
      <c r="AQ38" s="6"/>
    </row>
    <row r="39" spans="1:45" x14ac:dyDescent="0.3">
      <c r="A39" s="15">
        <f t="shared" si="19"/>
        <v>16</v>
      </c>
      <c r="B39" s="7" t="s">
        <v>230</v>
      </c>
      <c r="C39" s="6">
        <f t="shared" si="17"/>
        <v>1576538.24</v>
      </c>
      <c r="D39" s="6"/>
      <c r="E39" s="6"/>
      <c r="F39" s="6"/>
      <c r="G39" s="6"/>
      <c r="H39" s="6"/>
      <c r="I39" s="6"/>
      <c r="J39" s="7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>
        <f t="shared" si="18"/>
        <v>1576538.24</v>
      </c>
      <c r="X39" s="64">
        <f t="shared" si="16"/>
        <v>0</v>
      </c>
      <c r="Y39" s="66">
        <f t="shared" si="15"/>
        <v>0</v>
      </c>
      <c r="Z39" s="93"/>
      <c r="AA39" s="93"/>
      <c r="AB39" s="93"/>
      <c r="AC39" s="93"/>
      <c r="AD39" s="6"/>
      <c r="AE39" s="6"/>
      <c r="AF39" s="6"/>
      <c r="AG39" s="6"/>
      <c r="AH39" s="6"/>
      <c r="AI39" s="6"/>
      <c r="AJ39" s="6"/>
      <c r="AK39" s="6"/>
      <c r="AL39" s="6"/>
      <c r="AM39" s="107">
        <v>344343.42</v>
      </c>
      <c r="AN39" s="6">
        <v>1232194.82</v>
      </c>
      <c r="AO39" s="6"/>
      <c r="AP39" s="6"/>
      <c r="AQ39" s="6"/>
    </row>
    <row r="40" spans="1:45" x14ac:dyDescent="0.3">
      <c r="A40" s="106">
        <f>'2022'!A39+1</f>
        <v>17</v>
      </c>
      <c r="B40" s="7" t="s">
        <v>231</v>
      </c>
      <c r="C40" s="6">
        <f t="shared" si="17"/>
        <v>707715.12</v>
      </c>
      <c r="D40" s="6"/>
      <c r="E40" s="6"/>
      <c r="F40" s="6"/>
      <c r="G40" s="6"/>
      <c r="H40" s="6"/>
      <c r="I40" s="6"/>
      <c r="J40" s="7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>
        <f t="shared" si="18"/>
        <v>707715.12</v>
      </c>
      <c r="X40" s="64">
        <f t="shared" si="16"/>
        <v>0</v>
      </c>
      <c r="Y40" s="66">
        <f t="shared" si="15"/>
        <v>0</v>
      </c>
      <c r="Z40" s="93"/>
      <c r="AA40" s="93"/>
      <c r="AB40" s="93"/>
      <c r="AC40" s="93"/>
      <c r="AD40" s="6"/>
      <c r="AE40" s="6"/>
      <c r="AF40" s="6">
        <v>100953.78</v>
      </c>
      <c r="AG40" s="6"/>
      <c r="AH40" s="6"/>
      <c r="AI40" s="6">
        <v>122423.2</v>
      </c>
      <c r="AJ40" s="6"/>
      <c r="AK40" s="6"/>
      <c r="AL40" s="6"/>
      <c r="AM40" s="107"/>
      <c r="AN40" s="6">
        <v>484338.14</v>
      </c>
      <c r="AO40" s="6"/>
      <c r="AP40" s="6"/>
      <c r="AQ40" s="6"/>
    </row>
    <row r="41" spans="1:45" x14ac:dyDescent="0.3">
      <c r="A41" s="113">
        <f>'2022'!A40+1</f>
        <v>18</v>
      </c>
      <c r="B41" s="7" t="s">
        <v>232</v>
      </c>
      <c r="C41" s="6">
        <f t="shared" si="17"/>
        <v>1293884.29</v>
      </c>
      <c r="D41" s="6"/>
      <c r="E41" s="6"/>
      <c r="F41" s="6"/>
      <c r="G41" s="6"/>
      <c r="H41" s="6"/>
      <c r="I41" s="6"/>
      <c r="J41" s="7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f t="shared" si="18"/>
        <v>1293884.29</v>
      </c>
      <c r="X41" s="64">
        <f t="shared" si="16"/>
        <v>0</v>
      </c>
      <c r="Y41" s="66">
        <f t="shared" si="15"/>
        <v>0</v>
      </c>
      <c r="Z41" s="93"/>
      <c r="AA41" s="93"/>
      <c r="AB41" s="93"/>
      <c r="AC41" s="93"/>
      <c r="AD41" s="6"/>
      <c r="AE41" s="6"/>
      <c r="AF41" s="6"/>
      <c r="AG41" s="6"/>
      <c r="AH41" s="6"/>
      <c r="AI41" s="6"/>
      <c r="AJ41" s="6"/>
      <c r="AK41" s="6"/>
      <c r="AL41" s="6"/>
      <c r="AM41" s="107">
        <v>219527.34</v>
      </c>
      <c r="AN41" s="6">
        <v>1074356.95</v>
      </c>
      <c r="AO41" s="6"/>
      <c r="AP41" s="6"/>
      <c r="AQ41" s="6"/>
    </row>
    <row r="42" spans="1:45" x14ac:dyDescent="0.3">
      <c r="A42" s="113">
        <f>'2022'!A41+1</f>
        <v>19</v>
      </c>
      <c r="B42" s="7" t="s">
        <v>233</v>
      </c>
      <c r="C42" s="6">
        <f t="shared" si="17"/>
        <v>1801586.32</v>
      </c>
      <c r="D42" s="6"/>
      <c r="E42" s="6"/>
      <c r="F42" s="6"/>
      <c r="G42" s="6"/>
      <c r="H42" s="6"/>
      <c r="I42" s="6"/>
      <c r="J42" s="7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f t="shared" si="18"/>
        <v>1801586.32</v>
      </c>
      <c r="X42" s="64">
        <f t="shared" si="16"/>
        <v>0</v>
      </c>
      <c r="Y42" s="66">
        <f t="shared" si="15"/>
        <v>0</v>
      </c>
      <c r="Z42" s="93"/>
      <c r="AA42" s="93"/>
      <c r="AB42" s="93"/>
      <c r="AC42" s="93"/>
      <c r="AD42" s="6"/>
      <c r="AE42" s="6"/>
      <c r="AF42" s="6">
        <v>180664.2</v>
      </c>
      <c r="AG42" s="6"/>
      <c r="AH42" s="6"/>
      <c r="AI42" s="6"/>
      <c r="AJ42" s="6"/>
      <c r="AK42" s="6"/>
      <c r="AL42" s="6">
        <v>329377.77</v>
      </c>
      <c r="AM42" s="107">
        <v>219085.63</v>
      </c>
      <c r="AN42" s="6">
        <v>1072458.72</v>
      </c>
      <c r="AO42" s="6"/>
      <c r="AP42" s="6"/>
      <c r="AQ42" s="6"/>
    </row>
    <row r="43" spans="1:45" x14ac:dyDescent="0.3">
      <c r="A43" s="113">
        <f>'2022'!A42+1</f>
        <v>20</v>
      </c>
      <c r="B43" s="7" t="s">
        <v>234</v>
      </c>
      <c r="C43" s="6">
        <f t="shared" si="17"/>
        <v>928863.99</v>
      </c>
      <c r="D43" s="6"/>
      <c r="E43" s="6"/>
      <c r="F43" s="6"/>
      <c r="G43" s="6"/>
      <c r="H43" s="6"/>
      <c r="I43" s="6"/>
      <c r="J43" s="7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>
        <f t="shared" si="18"/>
        <v>928863.99</v>
      </c>
      <c r="X43" s="64">
        <f t="shared" si="16"/>
        <v>0</v>
      </c>
      <c r="Y43" s="66">
        <f t="shared" si="15"/>
        <v>0</v>
      </c>
      <c r="Z43" s="93"/>
      <c r="AA43" s="93"/>
      <c r="AB43" s="93"/>
      <c r="AC43" s="93"/>
      <c r="AD43" s="6"/>
      <c r="AE43" s="6"/>
      <c r="AF43" s="6"/>
      <c r="AG43" s="6"/>
      <c r="AH43" s="6"/>
      <c r="AI43" s="6"/>
      <c r="AJ43" s="6"/>
      <c r="AK43" s="6"/>
      <c r="AL43" s="6">
        <v>230818.44</v>
      </c>
      <c r="AM43" s="107">
        <v>267489.37</v>
      </c>
      <c r="AN43" s="6">
        <v>430556.18</v>
      </c>
      <c r="AO43" s="6"/>
      <c r="AP43" s="6"/>
      <c r="AQ43" s="6"/>
    </row>
    <row r="44" spans="1:45" x14ac:dyDescent="0.3">
      <c r="A44" s="509" t="s">
        <v>35</v>
      </c>
      <c r="B44" s="510"/>
      <c r="C44" s="77">
        <f>SUM(C37:C43)</f>
        <v>10056303.950000001</v>
      </c>
      <c r="D44" s="77">
        <f t="shared" ref="D44:W44" si="20">SUM(D37:D43)</f>
        <v>0</v>
      </c>
      <c r="E44" s="77">
        <f t="shared" si="20"/>
        <v>0</v>
      </c>
      <c r="F44" s="77">
        <f t="shared" si="20"/>
        <v>0</v>
      </c>
      <c r="G44" s="77">
        <f t="shared" si="20"/>
        <v>0</v>
      </c>
      <c r="H44" s="77">
        <f t="shared" si="20"/>
        <v>0</v>
      </c>
      <c r="I44" s="77">
        <f t="shared" si="20"/>
        <v>0</v>
      </c>
      <c r="J44" s="77">
        <f t="shared" si="20"/>
        <v>0</v>
      </c>
      <c r="K44" s="77">
        <f t="shared" si="20"/>
        <v>0</v>
      </c>
      <c r="L44" s="77">
        <f t="shared" si="20"/>
        <v>0</v>
      </c>
      <c r="M44" s="77">
        <f t="shared" si="20"/>
        <v>0</v>
      </c>
      <c r="N44" s="77">
        <f t="shared" si="20"/>
        <v>0</v>
      </c>
      <c r="O44" s="77">
        <f t="shared" si="20"/>
        <v>0</v>
      </c>
      <c r="P44" s="77">
        <f t="shared" si="20"/>
        <v>0</v>
      </c>
      <c r="Q44" s="77">
        <f t="shared" si="20"/>
        <v>0</v>
      </c>
      <c r="R44" s="77">
        <f t="shared" si="20"/>
        <v>0</v>
      </c>
      <c r="S44" s="77">
        <f t="shared" si="20"/>
        <v>0</v>
      </c>
      <c r="T44" s="77">
        <f t="shared" si="20"/>
        <v>0</v>
      </c>
      <c r="U44" s="77">
        <f t="shared" si="20"/>
        <v>0</v>
      </c>
      <c r="V44" s="77">
        <f t="shared" si="20"/>
        <v>0</v>
      </c>
      <c r="W44" s="77">
        <f t="shared" si="20"/>
        <v>10056303.950000001</v>
      </c>
      <c r="X44" s="64">
        <f t="shared" ref="X44" si="21">C44-E44-F44-G44-H44-I44-N44-P44-R44-S44-U44-V44-W44</f>
        <v>0</v>
      </c>
      <c r="Y44" s="66">
        <f t="shared" si="15"/>
        <v>0</v>
      </c>
      <c r="Z44" s="61"/>
      <c r="AA44" s="61"/>
      <c r="AB44" s="61"/>
      <c r="AC44" s="46">
        <f>SUM(AC37:AC38)</f>
        <v>0</v>
      </c>
      <c r="AD44" s="66"/>
      <c r="AE44" s="66"/>
      <c r="AF44" s="66"/>
      <c r="AG44" s="66"/>
      <c r="AH44" s="66"/>
      <c r="AI44" s="66"/>
      <c r="AJ44" s="111"/>
      <c r="AK44" s="9"/>
      <c r="AL44" s="13"/>
      <c r="AM44" s="13"/>
    </row>
    <row r="45" spans="1:45" x14ac:dyDescent="0.3">
      <c r="A45" s="491" t="s">
        <v>221</v>
      </c>
      <c r="B45" s="492"/>
      <c r="C45" s="76">
        <f>C35+C29+C44</f>
        <v>12559080.680000002</v>
      </c>
      <c r="D45" s="76">
        <f t="shared" ref="D45:W45" si="22">D35+D29+D44</f>
        <v>0</v>
      </c>
      <c r="E45" s="76">
        <f t="shared" si="22"/>
        <v>0</v>
      </c>
      <c r="F45" s="76">
        <f t="shared" si="22"/>
        <v>0</v>
      </c>
      <c r="G45" s="76">
        <f t="shared" si="22"/>
        <v>0</v>
      </c>
      <c r="H45" s="76">
        <f t="shared" si="22"/>
        <v>0</v>
      </c>
      <c r="I45" s="76">
        <f t="shared" si="22"/>
        <v>0</v>
      </c>
      <c r="J45" s="76">
        <f t="shared" si="22"/>
        <v>0</v>
      </c>
      <c r="K45" s="76">
        <f t="shared" si="22"/>
        <v>0</v>
      </c>
      <c r="L45" s="76">
        <f t="shared" si="22"/>
        <v>0</v>
      </c>
      <c r="M45" s="76">
        <f t="shared" si="22"/>
        <v>0</v>
      </c>
      <c r="N45" s="76">
        <f t="shared" si="22"/>
        <v>0</v>
      </c>
      <c r="O45" s="76">
        <f t="shared" si="22"/>
        <v>0</v>
      </c>
      <c r="P45" s="76">
        <f t="shared" si="22"/>
        <v>0</v>
      </c>
      <c r="Q45" s="76">
        <f t="shared" si="22"/>
        <v>0</v>
      </c>
      <c r="R45" s="76">
        <f t="shared" si="22"/>
        <v>0</v>
      </c>
      <c r="S45" s="76">
        <f t="shared" si="22"/>
        <v>0</v>
      </c>
      <c r="T45" s="76">
        <f t="shared" si="22"/>
        <v>0</v>
      </c>
      <c r="U45" s="76">
        <f t="shared" si="22"/>
        <v>0</v>
      </c>
      <c r="V45" s="76">
        <f t="shared" si="22"/>
        <v>0</v>
      </c>
      <c r="W45" s="76">
        <f t="shared" si="22"/>
        <v>12559080.680000002</v>
      </c>
      <c r="X45" s="64">
        <f t="shared" ref="X45" si="23">C45-E45-F45-G45-H45-I45-N45-P45-R45-S45-U45-V45-W45</f>
        <v>0</v>
      </c>
      <c r="Y45" s="66">
        <f t="shared" ref="Y45" si="24">C45-D45-N45-P45-R45-S45-U45-V45-W45</f>
        <v>0</v>
      </c>
      <c r="Z45" s="66"/>
      <c r="AA45" s="66"/>
      <c r="AB45" s="66"/>
      <c r="AC45" s="49" t="e">
        <f>AC29+#REF!+#REF!+#REF!+#REF!+#REF!+#REF!+#REF!+#REF!+#REF!</f>
        <v>#REF!</v>
      </c>
      <c r="AD45" s="66"/>
      <c r="AE45" s="66"/>
      <c r="AF45" s="66"/>
      <c r="AG45" s="66"/>
      <c r="AH45" s="66"/>
      <c r="AI45" s="66"/>
      <c r="AJ45" s="111"/>
      <c r="AK45" s="9"/>
      <c r="AL45" s="13"/>
      <c r="AM45" s="13"/>
    </row>
    <row r="46" spans="1:45" x14ac:dyDescent="0.3">
      <c r="A46" s="491" t="s">
        <v>87</v>
      </c>
      <c r="B46" s="492"/>
      <c r="C46" s="76">
        <f>C25+C14+C45</f>
        <v>20941049.040000003</v>
      </c>
      <c r="D46" s="76">
        <f t="shared" ref="D46:W46" si="25">D25+D14+D45</f>
        <v>0</v>
      </c>
      <c r="E46" s="76">
        <f t="shared" si="25"/>
        <v>0</v>
      </c>
      <c r="F46" s="76">
        <f t="shared" si="25"/>
        <v>0</v>
      </c>
      <c r="G46" s="76">
        <f t="shared" si="25"/>
        <v>0</v>
      </c>
      <c r="H46" s="76">
        <f t="shared" si="25"/>
        <v>0</v>
      </c>
      <c r="I46" s="76">
        <f t="shared" si="25"/>
        <v>0</v>
      </c>
      <c r="J46" s="76">
        <f t="shared" si="25"/>
        <v>0</v>
      </c>
      <c r="K46" s="76">
        <f t="shared" si="25"/>
        <v>0</v>
      </c>
      <c r="L46" s="76">
        <f t="shared" si="25"/>
        <v>0</v>
      </c>
      <c r="M46" s="76">
        <f t="shared" si="25"/>
        <v>0</v>
      </c>
      <c r="N46" s="76">
        <f t="shared" si="25"/>
        <v>0</v>
      </c>
      <c r="O46" s="76">
        <f t="shared" si="25"/>
        <v>0</v>
      </c>
      <c r="P46" s="76">
        <f t="shared" si="25"/>
        <v>0</v>
      </c>
      <c r="Q46" s="76">
        <f t="shared" si="25"/>
        <v>0</v>
      </c>
      <c r="R46" s="76">
        <f t="shared" si="25"/>
        <v>0</v>
      </c>
      <c r="S46" s="76">
        <f t="shared" si="25"/>
        <v>0</v>
      </c>
      <c r="T46" s="76">
        <f t="shared" si="25"/>
        <v>0</v>
      </c>
      <c r="U46" s="76">
        <f t="shared" si="25"/>
        <v>0</v>
      </c>
      <c r="V46" s="76">
        <f t="shared" si="25"/>
        <v>0</v>
      </c>
      <c r="W46" s="76">
        <f t="shared" si="25"/>
        <v>20941049.040000003</v>
      </c>
      <c r="X46" s="64">
        <f t="shared" ref="X46:X48" si="26">C46-E46-F46-G46-H46-I46-N46-P46-R46-S46-U46-V46-W46</f>
        <v>0</v>
      </c>
      <c r="Y46" s="55">
        <f t="shared" ref="Y46" si="27">C46-D46-N46-P46-R46-S46-U46-V46-W46</f>
        <v>0</v>
      </c>
      <c r="Z46" s="55"/>
      <c r="AA46" s="55"/>
      <c r="AB46" s="55"/>
      <c r="AC46" s="27" t="e">
        <f>#REF!+#REF!+#REF!+#REF!+#REF!+#REF!+#REF!+#REF!+#REF!+AC25+#REF!+#REF!+#REF!+#REF!+#REF!+#REF!+#REF!+#REF!</f>
        <v>#REF!</v>
      </c>
      <c r="AD46" s="27" t="e">
        <f>#REF!+#REF!+#REF!+#REF!+#REF!+#REF!+#REF!+#REF!+#REF!+AD25+#REF!+#REF!+#REF!+#REF!+#REF!+#REF!+#REF!+#REF!</f>
        <v>#REF!</v>
      </c>
      <c r="AE46" s="27" t="e">
        <f>#REF!+#REF!+#REF!+#REF!+#REF!+#REF!+#REF!+#REF!+#REF!+AE25+#REF!+#REF!+#REF!+#REF!+#REF!+#REF!+#REF!+#REF!</f>
        <v>#REF!</v>
      </c>
      <c r="AF46" s="27" t="e">
        <f>#REF!+#REF!+#REF!+#REF!+#REF!+#REF!+#REF!+#REF!+#REF!+AF25+#REF!+#REF!+#REF!+#REF!+#REF!+#REF!+#REF!+#REF!</f>
        <v>#REF!</v>
      </c>
      <c r="AG46" s="27" t="e">
        <f>#REF!+#REF!+#REF!+#REF!+#REF!+#REF!+#REF!+#REF!+#REF!+AG25+#REF!+#REF!+#REF!+#REF!+#REF!+#REF!+#REF!+#REF!</f>
        <v>#REF!</v>
      </c>
    </row>
    <row r="47" spans="1:45" x14ac:dyDescent="0.3">
      <c r="A47" s="82"/>
      <c r="B47" s="86" t="s">
        <v>139</v>
      </c>
      <c r="C47" s="80">
        <f>(C46-W46)*0.0214</f>
        <v>0</v>
      </c>
      <c r="D47" s="6"/>
      <c r="E47" s="6"/>
      <c r="F47" s="6"/>
      <c r="G47" s="6"/>
      <c r="H47" s="6"/>
      <c r="I47" s="6"/>
      <c r="J47" s="7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4">
        <f t="shared" si="26"/>
        <v>0</v>
      </c>
    </row>
    <row r="48" spans="1:45" ht="32.4" x14ac:dyDescent="0.4">
      <c r="A48" s="82"/>
      <c r="B48" s="87" t="s">
        <v>140</v>
      </c>
      <c r="C48" s="80">
        <f>C46+C47</f>
        <v>20941049.040000003</v>
      </c>
      <c r="D48" s="6"/>
      <c r="E48" s="6"/>
      <c r="F48" s="6"/>
      <c r="G48" s="6"/>
      <c r="H48" s="6"/>
      <c r="I48" s="6"/>
      <c r="J48" s="7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4">
        <f t="shared" si="26"/>
        <v>20941049.040000003</v>
      </c>
      <c r="AS48" s="364" t="s">
        <v>257</v>
      </c>
    </row>
  </sheetData>
  <autoFilter ref="A9:W48"/>
  <mergeCells count="42">
    <mergeCell ref="A27:B27"/>
    <mergeCell ref="A29:B29"/>
    <mergeCell ref="A45:B45"/>
    <mergeCell ref="A35:B35"/>
    <mergeCell ref="A36:B36"/>
    <mergeCell ref="A44:B44"/>
    <mergeCell ref="A14:B14"/>
    <mergeCell ref="A26:W26"/>
    <mergeCell ref="A1:W1"/>
    <mergeCell ref="A24:B24"/>
    <mergeCell ref="A25:B25"/>
    <mergeCell ref="AI2:AK2"/>
    <mergeCell ref="D4:I4"/>
    <mergeCell ref="J4:L4"/>
    <mergeCell ref="M4:N7"/>
    <mergeCell ref="O4:P7"/>
    <mergeCell ref="Q4:R7"/>
    <mergeCell ref="T4:U7"/>
    <mergeCell ref="V4:V7"/>
    <mergeCell ref="W4:W7"/>
    <mergeCell ref="AI4:AI8"/>
    <mergeCell ref="AJ4:AJ8"/>
    <mergeCell ref="AK4:AK8"/>
    <mergeCell ref="D5:D7"/>
    <mergeCell ref="S4:S7"/>
    <mergeCell ref="K5:K7"/>
    <mergeCell ref="A46:B46"/>
    <mergeCell ref="E5:E7"/>
    <mergeCell ref="C3:C7"/>
    <mergeCell ref="B3:B7"/>
    <mergeCell ref="A3:A7"/>
    <mergeCell ref="D3:W3"/>
    <mergeCell ref="A15:W15"/>
    <mergeCell ref="A16:B16"/>
    <mergeCell ref="L5:L7"/>
    <mergeCell ref="F5:F7"/>
    <mergeCell ref="G5:G7"/>
    <mergeCell ref="H5:H7"/>
    <mergeCell ref="I5:I7"/>
    <mergeCell ref="J5:J7"/>
    <mergeCell ref="A13:B13"/>
    <mergeCell ref="A10:W10"/>
  </mergeCells>
  <conditionalFormatting sqref="A46">
    <cfRule type="duplicateValues" dxfId="2" priority="1536"/>
  </conditionalFormatting>
  <conditionalFormatting sqref="B12:B13">
    <cfRule type="duplicateValues" dxfId="1" priority="2"/>
  </conditionalFormatting>
  <conditionalFormatting sqref="B29">
    <cfRule type="duplicateValues" dxfId="0" priority="1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112</v>
      </c>
      <c r="C3" s="1" t="s">
        <v>113</v>
      </c>
      <c r="D3" s="1">
        <v>2020</v>
      </c>
      <c r="E3" s="1">
        <v>2021</v>
      </c>
      <c r="F3" s="1">
        <v>2022</v>
      </c>
      <c r="G3" s="1" t="s">
        <v>138</v>
      </c>
    </row>
    <row r="4" spans="1:7" x14ac:dyDescent="0.3">
      <c r="A4" s="1" t="s">
        <v>114</v>
      </c>
      <c r="C4" s="19" t="e">
        <f>D4+E4+F4</f>
        <v>#REF!</v>
      </c>
      <c r="D4" s="19" t="e">
        <f>'2020'!#REF!</f>
        <v>#REF!</v>
      </c>
      <c r="E4" s="19" t="e">
        <f>'2021'!#REF!</f>
        <v>#REF!</v>
      </c>
      <c r="F4" s="19" t="e">
        <f>'2022'!#REF!</f>
        <v>#REF!</v>
      </c>
      <c r="G4" s="19" t="e">
        <f>C4-'Раздел 1'!#REF!</f>
        <v>#REF!</v>
      </c>
    </row>
    <row r="5" spans="1:7" x14ac:dyDescent="0.3">
      <c r="A5" s="1" t="s">
        <v>115</v>
      </c>
      <c r="C5" s="19" t="e">
        <f t="shared" ref="C5:C21" si="0">D5+E5+F5</f>
        <v>#REF!</v>
      </c>
      <c r="D5" s="19" t="e">
        <f>'2020'!#REF!</f>
        <v>#REF!</v>
      </c>
      <c r="E5" s="19" t="e">
        <f>'2021'!#REF!</f>
        <v>#REF!</v>
      </c>
      <c r="F5" s="19" t="e">
        <f>'2022'!#REF!</f>
        <v>#REF!</v>
      </c>
      <c r="G5" s="21" t="e">
        <f>C5-'Раздел 1'!#REF!</f>
        <v>#REF!</v>
      </c>
    </row>
    <row r="6" spans="1:7" x14ac:dyDescent="0.3">
      <c r="A6" s="1" t="s">
        <v>116</v>
      </c>
      <c r="C6" s="19" t="e">
        <f t="shared" si="0"/>
        <v>#REF!</v>
      </c>
      <c r="D6" s="19" t="e">
        <f>'2020'!#REF!</f>
        <v>#REF!</v>
      </c>
      <c r="E6" s="19">
        <f>'2021'!C17</f>
        <v>347045.27</v>
      </c>
      <c r="F6" s="19" t="e">
        <f>'2022'!#REF!</f>
        <v>#REF!</v>
      </c>
      <c r="G6" s="19" t="e">
        <f>C6-'Раздел 1'!J26</f>
        <v>#REF!</v>
      </c>
    </row>
    <row r="7" spans="1:7" x14ac:dyDescent="0.3">
      <c r="A7" s="1" t="s">
        <v>117</v>
      </c>
      <c r="C7" s="19" t="e">
        <f t="shared" si="0"/>
        <v>#REF!</v>
      </c>
      <c r="D7" s="19" t="e">
        <f>'2020'!#REF!</f>
        <v>#REF!</v>
      </c>
      <c r="E7" s="19" t="e">
        <f>'2021'!#REF!</f>
        <v>#REF!</v>
      </c>
      <c r="F7" s="19" t="e">
        <f>'2022'!#REF!</f>
        <v>#REF!</v>
      </c>
      <c r="G7" s="19" t="e">
        <f>C7-'Раздел 1'!#REF!</f>
        <v>#REF!</v>
      </c>
    </row>
    <row r="8" spans="1:7" x14ac:dyDescent="0.3">
      <c r="A8" s="1" t="s">
        <v>118</v>
      </c>
      <c r="C8" s="19" t="e">
        <f t="shared" si="0"/>
        <v>#REF!</v>
      </c>
      <c r="D8" s="19" t="e">
        <f>'2020'!#REF!</f>
        <v>#REF!</v>
      </c>
      <c r="E8" s="19" t="e">
        <f>'2021'!#REF!</f>
        <v>#REF!</v>
      </c>
      <c r="F8" s="19" t="e">
        <f>'2022'!#REF!</f>
        <v>#REF!</v>
      </c>
      <c r="G8" s="19" t="e">
        <f>C8-'Раздел 1'!J50</f>
        <v>#REF!</v>
      </c>
    </row>
    <row r="9" spans="1:7" x14ac:dyDescent="0.3">
      <c r="A9" s="1" t="s">
        <v>119</v>
      </c>
      <c r="C9" s="19" t="e">
        <f t="shared" si="0"/>
        <v>#REF!</v>
      </c>
      <c r="D9" s="19" t="e">
        <f>'2020'!#REF!</f>
        <v>#REF!</v>
      </c>
      <c r="E9" s="19">
        <f>'2021'!C58</f>
        <v>11992718.34</v>
      </c>
      <c r="F9" s="19" t="e">
        <f>'2022'!#REF!</f>
        <v>#REF!</v>
      </c>
      <c r="G9" s="19" t="e">
        <f>C9-'Раздел 1'!J70</f>
        <v>#REF!</v>
      </c>
    </row>
    <row r="10" spans="1:7" x14ac:dyDescent="0.3">
      <c r="A10" s="1" t="s">
        <v>120</v>
      </c>
      <c r="C10" s="19" t="e">
        <f t="shared" si="0"/>
        <v>#REF!</v>
      </c>
      <c r="D10" s="19" t="e">
        <f>'2020'!#REF!</f>
        <v>#REF!</v>
      </c>
      <c r="E10" s="19" t="e">
        <f>'2021'!#REF!</f>
        <v>#REF!</v>
      </c>
      <c r="F10" s="19" t="e">
        <f>'2022'!#REF!</f>
        <v>#REF!</v>
      </c>
      <c r="G10" s="21" t="e">
        <f>C10-'Раздел 1'!#REF!</f>
        <v>#REF!</v>
      </c>
    </row>
    <row r="11" spans="1:7" x14ac:dyDescent="0.3">
      <c r="A11" s="1" t="s">
        <v>121</v>
      </c>
      <c r="C11" s="19" t="e">
        <f t="shared" si="0"/>
        <v>#REF!</v>
      </c>
      <c r="D11" s="19" t="e">
        <f>'2020'!#REF!</f>
        <v>#REF!</v>
      </c>
      <c r="E11" s="19" t="e">
        <f>'2021'!#REF!</f>
        <v>#REF!</v>
      </c>
      <c r="F11" s="19">
        <f>'2022'!C25</f>
        <v>7413192.0800000001</v>
      </c>
      <c r="G11" s="22" t="e">
        <f>C11-'Раздел 1'!J87</f>
        <v>#REF!</v>
      </c>
    </row>
    <row r="12" spans="1:7" x14ac:dyDescent="0.3">
      <c r="A12" s="1" t="s">
        <v>122</v>
      </c>
      <c r="C12" s="19" t="e">
        <f t="shared" si="0"/>
        <v>#REF!</v>
      </c>
      <c r="D12" s="19" t="e">
        <f>'2020'!#REF!</f>
        <v>#REF!</v>
      </c>
      <c r="E12" s="19" t="e">
        <f>'2021'!#REF!</f>
        <v>#REF!</v>
      </c>
      <c r="F12" s="19" t="e">
        <f>'2022'!#REF!</f>
        <v>#REF!</v>
      </c>
      <c r="G12" s="22" t="e">
        <f>C12-'Раздел 1'!#REF!</f>
        <v>#REF!</v>
      </c>
    </row>
    <row r="13" spans="1:7" x14ac:dyDescent="0.3">
      <c r="A13" s="1" t="s">
        <v>123</v>
      </c>
      <c r="C13" s="19" t="e">
        <f t="shared" si="0"/>
        <v>#REF!</v>
      </c>
      <c r="D13" s="19" t="e">
        <f>'2020'!#REF!</f>
        <v>#REF!</v>
      </c>
      <c r="E13" s="19" t="e">
        <f>'2021'!#REF!</f>
        <v>#REF!</v>
      </c>
      <c r="F13" s="19" t="e">
        <f>'2022'!#REF!</f>
        <v>#REF!</v>
      </c>
      <c r="G13" s="19" t="e">
        <f>C13-'Раздел 1'!#REF!</f>
        <v>#REF!</v>
      </c>
    </row>
    <row r="14" spans="1:7" x14ac:dyDescent="0.3">
      <c r="A14" s="1" t="s">
        <v>124</v>
      </c>
      <c r="C14" s="19" t="e">
        <f t="shared" si="0"/>
        <v>#REF!</v>
      </c>
      <c r="D14" s="19" t="e">
        <f>'2020'!#REF!</f>
        <v>#REF!</v>
      </c>
      <c r="E14" s="19">
        <f>'2021'!C75</f>
        <v>970271.29</v>
      </c>
      <c r="F14" s="19" t="e">
        <f>'2022'!#REF!</f>
        <v>#REF!</v>
      </c>
      <c r="G14" s="19" t="e">
        <f>C14-'Раздел 1'!#REF!</f>
        <v>#REF!</v>
      </c>
    </row>
    <row r="15" spans="1:7" x14ac:dyDescent="0.3">
      <c r="A15" s="1" t="s">
        <v>125</v>
      </c>
      <c r="C15" s="19" t="e">
        <f t="shared" si="0"/>
        <v>#REF!</v>
      </c>
      <c r="D15" s="19" t="e">
        <f>'2020'!#REF!</f>
        <v>#REF!</v>
      </c>
      <c r="E15" s="19" t="e">
        <f>'2021'!#REF!</f>
        <v>#REF!</v>
      </c>
      <c r="F15" s="19" t="e">
        <f>'2022'!#REF!</f>
        <v>#REF!</v>
      </c>
      <c r="G15" s="19" t="e">
        <f>C15-'Раздел 1'!#REF!</f>
        <v>#REF!</v>
      </c>
    </row>
    <row r="16" spans="1:7" x14ac:dyDescent="0.3">
      <c r="A16" s="1" t="s">
        <v>126</v>
      </c>
      <c r="C16" s="19" t="e">
        <f t="shared" si="0"/>
        <v>#REF!</v>
      </c>
      <c r="D16" s="19" t="e">
        <f>'2020'!#REF!</f>
        <v>#REF!</v>
      </c>
      <c r="E16" s="19" t="e">
        <f>'2021'!#REF!</f>
        <v>#REF!</v>
      </c>
      <c r="F16" s="19" t="e">
        <f>'2022'!#REF!</f>
        <v>#REF!</v>
      </c>
      <c r="G16" s="19" t="e">
        <f>C16-'Раздел 1'!#REF!</f>
        <v>#REF!</v>
      </c>
    </row>
    <row r="17" spans="1:7" x14ac:dyDescent="0.3">
      <c r="A17" s="1" t="s">
        <v>127</v>
      </c>
      <c r="C17" s="19" t="e">
        <f t="shared" si="0"/>
        <v>#REF!</v>
      </c>
      <c r="D17" s="19" t="e">
        <f>'2020'!#REF!</f>
        <v>#REF!</v>
      </c>
      <c r="E17" s="19" t="e">
        <f>'2021'!#REF!</f>
        <v>#REF!</v>
      </c>
      <c r="F17" s="19" t="e">
        <f>'2022'!#REF!</f>
        <v>#REF!</v>
      </c>
      <c r="G17" s="19" t="e">
        <f>C17-'Раздел 1'!#REF!</f>
        <v>#REF!</v>
      </c>
    </row>
    <row r="18" spans="1:7" x14ac:dyDescent="0.3">
      <c r="A18" s="1" t="s">
        <v>128</v>
      </c>
      <c r="C18" s="19" t="e">
        <f t="shared" si="0"/>
        <v>#REF!</v>
      </c>
      <c r="D18" s="19" t="e">
        <f>'2020'!#REF!</f>
        <v>#REF!</v>
      </c>
      <c r="E18" s="19" t="e">
        <f>'2021'!#REF!</f>
        <v>#REF!</v>
      </c>
      <c r="F18" s="19" t="e">
        <f>'2022'!#REF!</f>
        <v>#REF!</v>
      </c>
      <c r="G18" s="19" t="e">
        <f>C18-'Раздел 1'!#REF!</f>
        <v>#REF!</v>
      </c>
    </row>
    <row r="19" spans="1:7" x14ac:dyDescent="0.3">
      <c r="A19" s="1" t="s">
        <v>129</v>
      </c>
      <c r="C19" s="19" t="e">
        <f t="shared" si="0"/>
        <v>#REF!</v>
      </c>
      <c r="D19" s="19">
        <f>'2020'!C29</f>
        <v>2815579.2</v>
      </c>
      <c r="E19" s="19">
        <f>'2021'!C103</f>
        <v>1489477.7300000002</v>
      </c>
      <c r="F19" s="19" t="e">
        <f>'2022'!#REF!</f>
        <v>#REF!</v>
      </c>
      <c r="G19" s="19" t="e">
        <f>C19-'Раздел 1'!J152</f>
        <v>#REF!</v>
      </c>
    </row>
    <row r="20" spans="1:7" x14ac:dyDescent="0.3">
      <c r="A20" s="1" t="s">
        <v>130</v>
      </c>
      <c r="C20" s="19" t="e">
        <f t="shared" si="0"/>
        <v>#REF!</v>
      </c>
      <c r="D20" s="19" t="e">
        <f>'2020'!#REF!</f>
        <v>#REF!</v>
      </c>
      <c r="E20" s="19">
        <f>'2021'!C114</f>
        <v>130000</v>
      </c>
      <c r="F20" s="19" t="e">
        <f>'2022'!#REF!</f>
        <v>#REF!</v>
      </c>
      <c r="G20" s="22" t="e">
        <f>C20-'Раздел 1'!J156</f>
        <v>#REF!</v>
      </c>
    </row>
    <row r="21" spans="1:7" x14ac:dyDescent="0.3">
      <c r="A21" s="1" t="s">
        <v>131</v>
      </c>
      <c r="C21" s="19" t="e">
        <f t="shared" si="0"/>
        <v>#REF!</v>
      </c>
      <c r="D21" s="19" t="e">
        <f>'2020'!#REF!</f>
        <v>#REF!</v>
      </c>
      <c r="E21" s="19" t="e">
        <f>'2021'!#REF!</f>
        <v>#REF!</v>
      </c>
      <c r="F21" s="19" t="e">
        <f>'2022'!#REF!</f>
        <v>#REF!</v>
      </c>
      <c r="G21" s="19" t="e">
        <f>C21-'Раздел 1'!#REF!</f>
        <v>#REF!</v>
      </c>
    </row>
    <row r="22" spans="1:7" ht="15" x14ac:dyDescent="0.25">
      <c r="E22" s="19"/>
      <c r="F22" s="19"/>
    </row>
    <row r="23" spans="1:7" ht="15" x14ac:dyDescent="0.25">
      <c r="E23" s="19"/>
      <c r="F23" s="19"/>
    </row>
    <row r="24" spans="1:7" x14ac:dyDescent="0.3">
      <c r="A24" s="1" t="s">
        <v>113</v>
      </c>
      <c r="B24" s="1" t="e">
        <f>'Раздел 1'!#REF!</f>
        <v>#REF!</v>
      </c>
      <c r="C24" s="19" t="e">
        <f>SUM(C4:C22)</f>
        <v>#REF!</v>
      </c>
      <c r="D24" s="19" t="e">
        <f>SUM(D4:D21)</f>
        <v>#REF!</v>
      </c>
      <c r="E24" s="19" t="e">
        <f>SUM(E4:E21)</f>
        <v>#REF!</v>
      </c>
      <c r="F24" s="19" t="e">
        <f>SUM(F4:F21)</f>
        <v>#REF!</v>
      </c>
      <c r="G24" s="19" t="e">
        <f>C24-'Раздел 1'!#REF!</f>
        <v>#REF!</v>
      </c>
    </row>
    <row r="26" spans="1:7" x14ac:dyDescent="0.3">
      <c r="A26" s="1" t="s">
        <v>132</v>
      </c>
      <c r="B26" s="1">
        <v>177</v>
      </c>
      <c r="C26" s="19">
        <f>D26+E26+F26</f>
        <v>1820186772.2199998</v>
      </c>
      <c r="D26" s="19">
        <v>1356759812.5599999</v>
      </c>
      <c r="E26" s="1">
        <v>187839468.58000001</v>
      </c>
      <c r="F26" s="1">
        <v>275587491.07999998</v>
      </c>
    </row>
    <row r="27" spans="1:7" ht="15" x14ac:dyDescent="0.25">
      <c r="B27" s="1">
        <v>470</v>
      </c>
    </row>
    <row r="29" spans="1:7" x14ac:dyDescent="0.3">
      <c r="A29" s="1" t="s">
        <v>141</v>
      </c>
      <c r="C29" s="19">
        <f>D29+E29+F29</f>
        <v>90382728.426208004</v>
      </c>
      <c r="D29" s="19">
        <f>'2020'!C36</f>
        <v>13159896.915474001</v>
      </c>
      <c r="E29" s="19">
        <f>'2021'!C117</f>
        <v>56281782.470734</v>
      </c>
      <c r="F29" s="19">
        <f>'2022'!C48</f>
        <v>20941049.040000003</v>
      </c>
    </row>
    <row r="30" spans="1:7" x14ac:dyDescent="0.3">
      <c r="C30" s="19">
        <f>D30+E30+F30</f>
        <v>1820186772.2199998</v>
      </c>
      <c r="D30" s="19">
        <v>1356759812.5599999</v>
      </c>
      <c r="E30" s="1">
        <v>187839468.58000001</v>
      </c>
      <c r="F30" s="1">
        <v>275587491.07999998</v>
      </c>
    </row>
    <row r="31" spans="1:7" x14ac:dyDescent="0.3">
      <c r="C31" s="19">
        <f>SUM(C29:C30)</f>
        <v>1910569500.6462078</v>
      </c>
      <c r="D31" s="19">
        <f>SUM(D29:D30)</f>
        <v>1369919709.4754739</v>
      </c>
      <c r="E31" s="19">
        <f>SUM(E29:E30)</f>
        <v>244121251.05073401</v>
      </c>
      <c r="F31" s="19">
        <f>SUM(F29:F30)</f>
        <v>296528540.12</v>
      </c>
    </row>
    <row r="32" spans="1:7" x14ac:dyDescent="0.3">
      <c r="A32" s="20"/>
      <c r="C32" s="19"/>
      <c r="D32" s="19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2020-10-15T14:22:29Z</cp:lastPrinted>
  <dcterms:created xsi:type="dcterms:W3CDTF">2019-06-18T13:49:47Z</dcterms:created>
  <dcterms:modified xsi:type="dcterms:W3CDTF">2020-10-28T09:03:18Z</dcterms:modified>
</cp:coreProperties>
</file>